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2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<sst xmlns="http://schemas.openxmlformats.org/spreadsheetml/2006/main" count="548" uniqueCount="377">
  <si>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</si>
  <si>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</si>
  <si>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</si>
  <si>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</si>
  <si>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</si>
  <si>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</si>
  <si>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</si>
  <si>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</si>
  <si>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</si>
  <si>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</si>
  <si>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</si>
  <si>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</si>
  <si>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</si>
  <si>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</si>
  <si>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</si>
  <si>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</si>
  <si>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</si>
  <si>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</si>
  <si>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</si>
  <si>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</si>
  <si>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</si>
  <si>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</si>
  <si>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</si>
  <si>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</si>
  <si>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</si>
  <si>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</si>
  <si>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</si>
  <si>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</si>
  <si>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</si>
  <si>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</si>
  <si>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</si>
  <si>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</si>
  <si>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</si>
  <si>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</si>
  <si>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</si>
  <si>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</si>
  <si>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</si>
  <si>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</si>
  <si>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</si>
  <si>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</si>
  <si>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</si>
  <si>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</si>
  <si>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</si>
  <si>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</si>
  <si>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</si>
  <si>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</si>
  <si>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</si>
  <si>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</si>
  <si>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</si>
  <si>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</si>
  <si>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</si>
  <si>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</si>
  <si>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</si>
  <si>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</si>
  <si>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</si>
  <si>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</si>
  <si>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</si>
  <si>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</si>
  <si>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</si>
  <si>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</si>
  <si>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</si>
  <si>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</si>
  <si>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</si>
  <si>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</si>
  <si>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</si>
  <si>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</si>
  <si>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</si>
  <si>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</si>
  <si>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</si>
  <si>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</si>
  <si>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</si>
  <si>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</si>
  <si>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</si>
  <si>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</si>
  <si>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</si>
  <si>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</si>
  <si>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</si>
  <si>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</si>
  <si>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</si>
  <si>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</si>
  <si>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</si>
  <si>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</si>
  <si>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</si>
  <si>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</si>
  <si>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</si>
  <si>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</si>
  <si>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</si>
  <si>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</si>
  <si>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</si>
  <si>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</si>
  <si>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</si>
  <si>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</si>
  <si>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</si>
  <si>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</si>
  <si>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</si>
  <si>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</si>
  <si>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</si>
  <si>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</si>
  <si>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</si>
  <si>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</si>
  <si>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</si>
  <si>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</si>
  <si>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</si>
  <si>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</si>
  <si>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</si>
  <si>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</si>
  <si>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</si>
  <si>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</si>
  <si>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</si>
  <si>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</si>
  <si>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</si>
  <si>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</si>
  <si>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</si>
  <si>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</si>
  <si>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</si>
  <si>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</si>
  <si>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</si>
  <si>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</si>
  <si>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</si>
  <si>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</si>
  <si>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</si>
  <si>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</si>
  <si>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</si>
  <si>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</si>
  <si>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</si>
  <si>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</si>
  <si>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</si>
  <si>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</si>
  <si>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</si>
  <si>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</si>
  <si>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</si>
  <si>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</si>
  <si>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</si>
  <si>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</si>
  <si>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</si>
  <si>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</si>
  <si>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</si>
  <si>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</si>
  <si>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</si>
  <si>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</si>
  <si>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</si>
  <si>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</si>
  <si>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</si>
  <si>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</si>
  <si>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</si>
  <si>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</si>
  <si>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</si>
  <si>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</si>
  <si>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</si>
  <si>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</si>
  <si>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</si>
  <si>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</si>
  <si>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</si>
  <si>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</si>
  <si>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</si>
  <si>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</si>
  <si>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</si>
  <si>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</si>
  <si>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</si>
  <si>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</si>
  <si>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</si>
  <si>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</si>
  <si>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</si>
  <si>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</si>
  <si>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</si>
  <si>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</si>
  <si>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</si>
  <si>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</si>
  <si>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</si>
  <si>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</si>
  <si>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</si>
  <si>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</si>
  <si>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</si>
  <si>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</si>
  <si>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</si>
  <si>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</si>
  <si>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</si>
  <si>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</si>
  <si>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</si>
  <si>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</si>
  <si>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</si>
  <si>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</si>
  <si>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</si>
  <si>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</si>
  <si>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</si>
  <si>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</si>
  <si>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</si>
  <si>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</si>
  <si>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</si>
  <si>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</si>
  <si>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</si>
  <si>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</si>
  <si>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</si>
  <si>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</si>
  <si>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</si>
  <si>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</si>
  <si>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</si>
  <si>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</si>
  <si>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</si>
  <si>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</si>
  <si>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</si>
  <si>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</si>
  <si>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</si>
  <si>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</si>
  <si>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</si>
  <si>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</si>
  <si>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</si>
  <si>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</si>
  <si>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</si>
  <si>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</si>
  <si>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</si>
  <si>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</si>
  <si>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</si>
  <si>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</si>
  <si>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</si>
  <si>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</si>
  <si>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</si>
  <si>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</si>
  <si>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</si>
  <si>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</si>
  <si>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</si>
  <si>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</si>
  <si>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</si>
  <si>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</si>
  <si>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</si>
  <si>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</si>
  <si>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</si>
  <si>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</si>
  <si>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</si>
  <si>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</si>
  <si>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</si>
  <si>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</si>
  <si>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</si>
  <si>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</si>
  <si>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</si>
  <si>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</si>
  <si>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</si>
  <si>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</si>
  <si>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</si>
  <si>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</si>
  <si>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</si>
  <si>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</si>
  <si>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</si>
  <si>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</si>
  <si>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</si>
  <si>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</si>
  <si>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</si>
  <si>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</si>
  <si>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</si>
  <si>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</si>
  <si>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</si>
  <si>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</si>
  <si>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</si>
  <si>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</si>
  <si>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</si>
  <si>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</si>
  <si>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</si>
  <si>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</si>
  <si>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</si>
  <si>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</si>
  <si>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</si>
  <si>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</si>
  <si>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</si>
  <si>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</si>
  <si>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</si>
  <si>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</si>
  <si>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</si>
  <si>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</si>
  <si>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</si>
  <si>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</si>
  <si>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</si>
  <si>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</si>
  <si>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</si>
  <si>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</si>
  <si>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</si>
  <si>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</si>
  <si>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</si>
  <si>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</si>
  <si>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</si>
  <si>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</si>
  <si>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</si>
  <si>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</si>
  <si>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</si>
  <si>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</si>
  <si>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</si>
  <si>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</si>
  <si>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</si>
  <si>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</si>
  <si>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</si>
  <si>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</si>
  <si>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</si>
  <si>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</si>
  <si>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</si>
  <si>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</si>
  <si>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</si>
  <si>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</si>
  <si>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</si>
  <si>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</si>
  <si>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</si>
  <si>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</si>
  <si>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</si>
  <si>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</si>
  <si>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</si>
  <si>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</si>
  <si>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</si>
  <si>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</si>
  <si>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</si>
  <si>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</si>
  <si>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</si>
  <si>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</si>
  <si>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</si>
  <si>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</si>
  <si>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</si>
  <si>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</si>
  <si>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</si>
  <si>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</si>
  <si>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</si>
  <si>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</si>
  <si>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</si>
  <si>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</si>
  <si>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</si>
  <si>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</si>
  <si>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</si>
  <si>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</si>
  <si>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</si>
  <si>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</si>
  <si>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</si>
  <si>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</si>
  <si>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</si>
  <si>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</si>
  <si>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</si>
  <si>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</si>
  <si>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</si>
  <si>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</si>
  <si>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</si>
  <si>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</si>
  <si>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</si>
  <si>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</si>
  <si>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</si>
  <si>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</si>
  <si>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</si>
  <si>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</si>
  <si>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</si>
  <si>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</si>
  <si>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</si>
  <si>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</si>
  <si>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</si>
  <si>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</si>
  <si>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</si>
  <si>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</si>
  <si>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</si>
  <si>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</si>
  <si>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</si>
  <si>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</si>
  <si>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</si>
  <si>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</si>
  <si>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</si>
  <si>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</si>
  <si>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</si>
  <si>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</si>
  <si>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</si>
  <si>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</si>
  <si>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</si>
  <si>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</si>
  <si>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</si>
  <si>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</si>
  <si>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</si>
  <si>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</si>
  <si>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</si>
  <si>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</si>
  <si>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</si>
  <si>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</si>
  <si>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</si>
  <si>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МИНИСТЕРСКИ СЪВЕТ</t>
  </si>
  <si>
    <t>www.government.bg</t>
  </si>
  <si>
    <t>РОСИЦА БАРЪМОВА</t>
  </si>
  <si>
    <t>ВЕСЕЛИН ДАКОВ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</si>
</sst>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4" fontId="152" fillId="32" borderId="0" xfId="64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2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2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0" fontId="22" fillId="38" borderId="0" xfId="57" applyFont="1" applyFill="1" applyBorder="1">
      <alignment/>
      <protection/>
    </xf>
    <xf numFmtId="175" fontId="22" fillId="38" borderId="0" xfId="57" applyNumberFormat="1" applyFont="1" applyFill="1" applyBorder="1" applyAlignment="1">
      <alignment horizontal="right"/>
      <protection/>
    </xf>
    <xf numFmtId="0" fontId="25" fillId="38" borderId="0" xfId="57" applyFont="1" applyFill="1" applyBorder="1">
      <alignment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3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21" fillId="32" borderId="21" xfId="57" applyNumberFormat="1" applyFont="1" applyFill="1" applyBorder="1" applyAlignment="1">
      <alignment horizontal="center"/>
      <protection/>
    </xf>
    <xf numFmtId="177" fontId="28" fillId="38" borderId="0" xfId="57" applyNumberFormat="1" applyFont="1" applyFill="1" applyBorder="1">
      <alignment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6" fillId="32" borderId="22" xfId="57" applyFont="1" applyFill="1" applyBorder="1">
      <alignment/>
      <protection/>
    </xf>
    <xf numFmtId="179" fontId="16" fillId="32" borderId="22" xfId="57" applyNumberFormat="1" applyFont="1" applyFill="1" applyBorder="1" applyAlignment="1">
      <alignment horizontal="left"/>
      <protection/>
    </xf>
    <xf numFmtId="179" fontId="16" fillId="32" borderId="21" xfId="57" applyNumberFormat="1" applyFont="1" applyFill="1" applyBorder="1" applyAlignment="1">
      <alignment horizontal="left"/>
      <protection/>
    </xf>
    <xf numFmtId="177" fontId="28" fillId="32" borderId="0" xfId="57" applyNumberFormat="1" applyFont="1" applyFill="1" applyBorder="1">
      <alignment/>
      <protection/>
    </xf>
    <xf numFmtId="177" fontId="28" fillId="32" borderId="19" xfId="57" applyNumberFormat="1" applyFont="1" applyFill="1" applyBorder="1">
      <alignment/>
      <protection/>
    </xf>
    <xf numFmtId="176" fontId="28" fillId="32" borderId="0" xfId="57" applyNumberFormat="1" applyFont="1" applyFill="1" applyBorder="1" applyAlignment="1">
      <alignment horizontal="center"/>
      <protection/>
    </xf>
    <xf numFmtId="176" fontId="28" fillId="32" borderId="19" xfId="57" applyNumberFormat="1" applyFont="1" applyFill="1" applyBorder="1" applyAlignment="1">
      <alignment horizontal="left"/>
      <protection/>
    </xf>
    <xf numFmtId="181" fontId="154" fillId="39" borderId="23" xfId="0" applyNumberFormat="1" applyFont="1" applyFill="1" applyBorder="1" applyAlignment="1" applyProtection="1" quotePrefix="1">
      <alignment horizontal="center"/>
      <protection/>
    </xf>
    <xf numFmtId="180" fontId="155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21" fillId="33" borderId="0" xfId="57" applyNumberFormat="1" applyFont="1" applyFill="1" applyBorder="1" applyAlignment="1">
      <alignment horizontal="center"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22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50" fillId="40" borderId="27" xfId="57" applyFont="1" applyFill="1" applyBorder="1">
      <alignment/>
      <protection/>
    </xf>
    <xf numFmtId="0" fontId="152" fillId="40" borderId="28" xfId="57" applyFont="1" applyFill="1" applyBorder="1">
      <alignment/>
      <protection/>
    </xf>
    <xf numFmtId="0" fontId="152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7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8" fillId="41" borderId="23" xfId="0" applyNumberFormat="1" applyFont="1" applyFill="1" applyBorder="1" applyAlignment="1" applyProtection="1" quotePrefix="1">
      <alignment horizontal="center"/>
      <protection/>
    </xf>
    <xf numFmtId="180" fontId="159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9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3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22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8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8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60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22" fillId="33" borderId="0" xfId="64" applyNumberFormat="1" applyFont="1" applyFill="1" applyBorder="1" applyAlignment="1" applyProtection="1">
      <alignment/>
      <protection/>
    </xf>
    <xf numFmtId="38" fontId="22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22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22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22" fillId="45" borderId="46" xfId="64" applyNumberFormat="1" applyFont="1" applyFill="1" applyBorder="1" applyAlignment="1" applyProtection="1">
      <alignment/>
      <protection/>
    </xf>
    <xf numFmtId="38" fontId="22" fillId="45" borderId="47" xfId="64" applyNumberFormat="1" applyFont="1" applyFill="1" applyBorder="1" applyAlignment="1" applyProtection="1">
      <alignment/>
      <protection/>
    </xf>
    <xf numFmtId="38" fontId="22" fillId="45" borderId="48" xfId="64" applyNumberFormat="1" applyFont="1" applyFill="1" applyBorder="1" applyAlignment="1" applyProtection="1">
      <alignment/>
      <protection/>
    </xf>
    <xf numFmtId="38" fontId="22" fillId="46" borderId="46" xfId="64" applyNumberFormat="1" applyFont="1" applyFill="1" applyBorder="1" applyAlignment="1" applyProtection="1">
      <alignment/>
      <protection/>
    </xf>
    <xf numFmtId="38" fontId="22" fillId="46" borderId="47" xfId="64" applyNumberFormat="1" applyFont="1" applyFill="1" applyBorder="1" applyAlignment="1" applyProtection="1">
      <alignment/>
      <protection/>
    </xf>
    <xf numFmtId="38" fontId="22" fillId="46" borderId="48" xfId="64" applyNumberFormat="1" applyFont="1" applyFill="1" applyBorder="1" applyAlignment="1" applyProtection="1">
      <alignment/>
      <protection/>
    </xf>
    <xf numFmtId="38" fontId="22" fillId="33" borderId="49" xfId="64" applyNumberFormat="1" applyFont="1" applyFill="1" applyBorder="1" applyAlignment="1" applyProtection="1">
      <alignment/>
      <protection/>
    </xf>
    <xf numFmtId="38" fontId="22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8" fillId="44" borderId="57" xfId="64" applyNumberFormat="1" applyFont="1" applyFill="1" applyBorder="1" applyAlignment="1" applyProtection="1">
      <alignment/>
      <protection/>
    </xf>
    <xf numFmtId="38" fontId="28" fillId="44" borderId="58" xfId="64" applyNumberFormat="1" applyFont="1" applyFill="1" applyBorder="1" applyAlignment="1" applyProtection="1">
      <alignment/>
      <protection/>
    </xf>
    <xf numFmtId="38" fontId="28" fillId="44" borderId="51" xfId="64" applyNumberFormat="1" applyFont="1" applyFill="1" applyBorder="1" applyAlignment="1" applyProtection="1">
      <alignment/>
      <protection/>
    </xf>
    <xf numFmtId="38" fontId="28" fillId="44" borderId="52" xfId="64" applyNumberFormat="1" applyFont="1" applyFill="1" applyBorder="1" applyAlignment="1" applyProtection="1">
      <alignment/>
      <protection/>
    </xf>
    <xf numFmtId="38" fontId="28" fillId="44" borderId="53" xfId="64" applyNumberFormat="1" applyFont="1" applyFill="1" applyBorder="1" applyAlignment="1" applyProtection="1">
      <alignment/>
      <protection/>
    </xf>
    <xf numFmtId="38" fontId="28" fillId="44" borderId="54" xfId="64" applyNumberFormat="1" applyFont="1" applyFill="1" applyBorder="1" applyAlignment="1" applyProtection="1">
      <alignment/>
      <protection/>
    </xf>
    <xf numFmtId="38" fontId="22" fillId="33" borderId="59" xfId="64" applyNumberFormat="1" applyFont="1" applyFill="1" applyBorder="1" applyAlignment="1" applyProtection="1">
      <alignment/>
      <protection/>
    </xf>
    <xf numFmtId="38" fontId="22" fillId="33" borderId="22" xfId="64" applyNumberFormat="1" applyFont="1" applyFill="1" applyBorder="1" applyAlignment="1" applyProtection="1">
      <alignment/>
      <protection/>
    </xf>
    <xf numFmtId="38" fontId="22" fillId="33" borderId="56" xfId="64" applyNumberFormat="1" applyFont="1" applyFill="1" applyBorder="1" applyAlignment="1" applyProtection="1">
      <alignment/>
      <protection/>
    </xf>
    <xf numFmtId="38" fontId="28" fillId="44" borderId="47" xfId="64" applyNumberFormat="1" applyFont="1" applyFill="1" applyBorder="1" applyAlignment="1" applyProtection="1">
      <alignment/>
      <protection/>
    </xf>
    <xf numFmtId="38" fontId="28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61" fillId="33" borderId="31" xfId="0" applyNumberFormat="1" applyFont="1" applyFill="1" applyBorder="1" applyAlignment="1" applyProtection="1">
      <alignment horizontal="center"/>
      <protection locked="0"/>
    </xf>
    <xf numFmtId="183" fontId="161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22" fillId="33" borderId="66" xfId="64" applyNumberFormat="1" applyFont="1" applyFill="1" applyBorder="1" applyAlignment="1" applyProtection="1">
      <alignment/>
      <protection/>
    </xf>
    <xf numFmtId="38" fontId="22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22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8" fillId="44" borderId="55" xfId="64" applyNumberFormat="1" applyFont="1" applyFill="1" applyBorder="1" applyAlignment="1" applyProtection="1">
      <alignment/>
      <protection/>
    </xf>
    <xf numFmtId="38" fontId="28" fillId="44" borderId="63" xfId="64" applyNumberFormat="1" applyFont="1" applyFill="1" applyBorder="1" applyAlignment="1" applyProtection="1">
      <alignment/>
      <protection/>
    </xf>
    <xf numFmtId="38" fontId="28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8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62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8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8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8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8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8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8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8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8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3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22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22" fillId="44" borderId="59" xfId="64" applyNumberFormat="1" applyFont="1" applyFill="1" applyBorder="1" applyAlignment="1" applyProtection="1">
      <alignment horizontal="center"/>
      <protection/>
    </xf>
    <xf numFmtId="38" fontId="22" fillId="44" borderId="22" xfId="64" applyNumberFormat="1" applyFont="1" applyFill="1" applyBorder="1" applyAlignment="1" applyProtection="1">
      <alignment horizontal="center"/>
      <protection/>
    </xf>
    <xf numFmtId="38" fontId="22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8" fillId="44" borderId="46" xfId="64" applyNumberFormat="1" applyFont="1" applyFill="1" applyBorder="1" applyAlignment="1" applyProtection="1">
      <alignment horizontal="center"/>
      <protection/>
    </xf>
    <xf numFmtId="38" fontId="28" fillId="44" borderId="47" xfId="64" applyNumberFormat="1" applyFont="1" applyFill="1" applyBorder="1" applyAlignment="1" applyProtection="1">
      <alignment horizontal="center"/>
      <protection/>
    </xf>
    <xf numFmtId="38" fontId="28" fillId="44" borderId="48" xfId="64" applyNumberFormat="1" applyFont="1" applyFill="1" applyBorder="1" applyAlignment="1" applyProtection="1">
      <alignment horizontal="center"/>
      <protection/>
    </xf>
    <xf numFmtId="38" fontId="22" fillId="33" borderId="59" xfId="64" applyNumberFormat="1" applyFont="1" applyFill="1" applyBorder="1" applyAlignment="1" applyProtection="1">
      <alignment horizontal="center"/>
      <protection/>
    </xf>
    <xf numFmtId="38" fontId="22" fillId="33" borderId="22" xfId="64" applyNumberFormat="1" applyFont="1" applyFill="1" applyBorder="1" applyAlignment="1" applyProtection="1">
      <alignment horizontal="center"/>
      <protection/>
    </xf>
    <xf numFmtId="38" fontId="22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22" fillId="33" borderId="66" xfId="64" applyNumberFormat="1" applyFont="1" applyFill="1" applyBorder="1" applyAlignment="1" applyProtection="1">
      <alignment horizontal="left"/>
      <protection/>
    </xf>
    <xf numFmtId="38" fontId="22" fillId="33" borderId="49" xfId="64" applyNumberFormat="1" applyFont="1" applyFill="1" applyBorder="1" applyAlignment="1" applyProtection="1">
      <alignment horizontal="left"/>
      <protection/>
    </xf>
    <xf numFmtId="38" fontId="22" fillId="33" borderId="50" xfId="64" applyNumberFormat="1" applyFont="1" applyFill="1" applyBorder="1" applyAlignment="1" applyProtection="1">
      <alignment horizontal="left"/>
      <protection/>
    </xf>
    <xf numFmtId="38" fontId="22" fillId="33" borderId="65" xfId="64" applyNumberFormat="1" applyFont="1" applyFill="1" applyBorder="1" applyAlignment="1" applyProtection="1">
      <alignment horizontal="left"/>
      <protection/>
    </xf>
    <xf numFmtId="38" fontId="22" fillId="33" borderId="34" xfId="64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8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5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7" fillId="39" borderId="23" xfId="0" applyNumberFormat="1" applyFont="1" applyFill="1" applyBorder="1" applyAlignment="1" applyProtection="1" quotePrefix="1">
      <alignment horizontal="center"/>
      <protection/>
    </xf>
    <xf numFmtId="191" fontId="164" fillId="42" borderId="23" xfId="0" applyNumberFormat="1" applyFont="1" applyFill="1" applyBorder="1" applyAlignment="1" applyProtection="1" quotePrefix="1">
      <alignment horizontal="center"/>
      <protection/>
    </xf>
    <xf numFmtId="191" fontId="165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2" fillId="38" borderId="107" xfId="0" applyNumberFormat="1" applyFont="1" applyFill="1" applyBorder="1" applyAlignment="1" applyProtection="1">
      <alignment horizontal="center"/>
      <protection/>
    </xf>
    <xf numFmtId="182" fontId="22" fillId="38" borderId="108" xfId="0" applyNumberFormat="1" applyFont="1" applyFill="1" applyBorder="1" applyAlignment="1" applyProtection="1">
      <alignment horizontal="center"/>
      <protection/>
    </xf>
    <xf numFmtId="182" fontId="166" fillId="38" borderId="107" xfId="0" applyNumberFormat="1" applyFont="1" applyFill="1" applyBorder="1" applyAlignment="1" applyProtection="1">
      <alignment horizontal="center"/>
      <protection/>
    </xf>
    <xf numFmtId="182" fontId="166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74" fontId="167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8" fillId="44" borderId="111" xfId="0" applyNumberFormat="1" applyFont="1" applyFill="1" applyBorder="1" applyAlignment="1" applyProtection="1">
      <alignment/>
      <protection/>
    </xf>
    <xf numFmtId="184" fontId="38" fillId="44" borderId="96" xfId="0" applyNumberFormat="1" applyFont="1" applyFill="1" applyBorder="1" applyAlignment="1" applyProtection="1">
      <alignment/>
      <protection/>
    </xf>
    <xf numFmtId="184" fontId="38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8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8" fillId="49" borderId="0" xfId="61" applyFont="1" applyFill="1" applyBorder="1" applyAlignment="1" applyProtection="1">
      <alignment horizontal="center"/>
      <protection/>
    </xf>
    <xf numFmtId="174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7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22" fillId="45" borderId="0" xfId="64" applyNumberFormat="1" applyFont="1" applyFill="1" applyBorder="1" applyAlignment="1" applyProtection="1">
      <alignment/>
      <protection/>
    </xf>
    <xf numFmtId="0" fontId="169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9" fillId="35" borderId="0" xfId="63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72" fontId="61" fillId="50" borderId="31" xfId="63" applyNumberFormat="1" applyFont="1" applyFill="1" applyBorder="1" applyAlignment="1" applyProtection="1">
      <alignment horizontal="center" vertical="center"/>
      <protection locked="0"/>
    </xf>
    <xf numFmtId="174" fontId="150" fillId="32" borderId="0" xfId="64" applyNumberFormat="1" applyFont="1" applyFill="1" applyAlignment="1" applyProtection="1">
      <alignment/>
      <protection/>
    </xf>
    <xf numFmtId="0" fontId="152" fillId="35" borderId="0" xfId="63" applyFont="1" applyFill="1" applyBorder="1" applyProtection="1">
      <alignment/>
      <protection/>
    </xf>
    <xf numFmtId="0" fontId="170" fillId="35" borderId="0" xfId="63" applyFont="1" applyFill="1" applyBorder="1" applyProtection="1">
      <alignment/>
      <protection/>
    </xf>
    <xf numFmtId="0" fontId="170" fillId="35" borderId="0" xfId="63" applyFont="1" applyFill="1" applyProtection="1">
      <alignment/>
      <protection/>
    </xf>
    <xf numFmtId="180" fontId="158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20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20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3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71" fillId="33" borderId="49" xfId="0" applyFont="1" applyFill="1" applyBorder="1" applyAlignment="1" applyProtection="1">
      <alignment horizontal="center"/>
      <protection/>
    </xf>
    <xf numFmtId="0" fontId="172" fillId="32" borderId="49" xfId="0" applyFont="1" applyFill="1" applyBorder="1" applyAlignment="1" applyProtection="1">
      <alignment horizontal="center"/>
      <protection locked="0"/>
    </xf>
    <xf numFmtId="172" fontId="173" fillId="33" borderId="31" xfId="63" applyNumberFormat="1" applyFont="1" applyFill="1" applyBorder="1" applyAlignment="1" applyProtection="1">
      <alignment horizontal="center" vertical="center"/>
      <protection/>
    </xf>
    <xf numFmtId="172" fontId="174" fillId="33" borderId="31" xfId="63" applyNumberFormat="1" applyFont="1" applyFill="1" applyBorder="1" applyAlignment="1" applyProtection="1">
      <alignment horizontal="center" vertical="center"/>
      <protection/>
    </xf>
    <xf numFmtId="0" fontId="16" fillId="33" borderId="31" xfId="63" applyNumberFormat="1" applyFont="1" applyFill="1" applyBorder="1" applyAlignment="1" applyProtection="1">
      <alignment horizontal="center" vertical="center"/>
      <protection/>
    </xf>
    <xf numFmtId="0" fontId="16" fillId="38" borderId="31" xfId="63" applyNumberFormat="1" applyFont="1" applyFill="1" applyBorder="1" applyAlignment="1" applyProtection="1">
      <alignment horizontal="center" vertical="center"/>
      <protection locked="0"/>
    </xf>
    <xf numFmtId="38" fontId="19" fillId="33" borderId="64" xfId="64" applyNumberFormat="1" applyFont="1" applyFill="1" applyBorder="1" applyAlignment="1" applyProtection="1">
      <alignment/>
      <protection/>
    </xf>
    <xf numFmtId="38" fontId="19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5" fillId="33" borderId="74" xfId="0" applyNumberFormat="1" applyFont="1" applyFill="1" applyBorder="1" applyAlignment="1" applyProtection="1" quotePrefix="1">
      <alignment/>
      <protection/>
    </xf>
    <xf numFmtId="174" fontId="176" fillId="33" borderId="74" xfId="0" applyNumberFormat="1" applyFont="1" applyFill="1" applyBorder="1" applyAlignment="1" applyProtection="1" quotePrefix="1">
      <alignment/>
      <protection/>
    </xf>
    <xf numFmtId="174" fontId="175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5" fillId="33" borderId="119" xfId="0" applyNumberFormat="1" applyFont="1" applyFill="1" applyBorder="1" applyAlignment="1" applyProtection="1" quotePrefix="1">
      <alignment/>
      <protection/>
    </xf>
    <xf numFmtId="174" fontId="175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5" fillId="32" borderId="119" xfId="0" applyNumberFormat="1" applyFont="1" applyFill="1" applyBorder="1" applyAlignment="1" applyProtection="1" quotePrefix="1">
      <alignment/>
      <protection/>
    </xf>
    <xf numFmtId="174" fontId="176" fillId="32" borderId="36" xfId="0" applyNumberFormat="1" applyFont="1" applyFill="1" applyBorder="1" applyAlignment="1" applyProtection="1" quotePrefix="1">
      <alignment/>
      <protection/>
    </xf>
    <xf numFmtId="174" fontId="175" fillId="33" borderId="90" xfId="0" applyNumberFormat="1" applyFont="1" applyFill="1" applyBorder="1" applyAlignment="1" applyProtection="1" quotePrefix="1">
      <alignment/>
      <protection/>
    </xf>
    <xf numFmtId="174" fontId="176" fillId="33" borderId="91" xfId="0" applyNumberFormat="1" applyFont="1" applyFill="1" applyBorder="1" applyAlignment="1" applyProtection="1" quotePrefix="1">
      <alignment/>
      <protection/>
    </xf>
    <xf numFmtId="174" fontId="176" fillId="33" borderId="36" xfId="0" applyNumberFormat="1" applyFont="1" applyFill="1" applyBorder="1" applyAlignment="1" applyProtection="1" quotePrefix="1">
      <alignment/>
      <protection/>
    </xf>
    <xf numFmtId="0" fontId="39" fillId="33" borderId="120" xfId="63" applyFont="1" applyFill="1" applyBorder="1" applyProtection="1">
      <alignment/>
      <protection/>
    </xf>
    <xf numFmtId="0" fontId="39" fillId="33" borderId="47" xfId="63" applyFont="1" applyFill="1" applyBorder="1" applyProtection="1">
      <alignment/>
      <protection/>
    </xf>
    <xf numFmtId="0" fontId="39" fillId="33" borderId="33" xfId="63" applyFont="1" applyFill="1" applyBorder="1" applyProtection="1">
      <alignment/>
      <protection/>
    </xf>
    <xf numFmtId="182" fontId="43" fillId="51" borderId="121" xfId="0" applyNumberFormat="1" applyFont="1" applyFill="1" applyBorder="1" applyAlignment="1" applyProtection="1">
      <alignment horizontal="center"/>
      <protection/>
    </xf>
    <xf numFmtId="182" fontId="44" fillId="43" borderId="121" xfId="0" applyNumberFormat="1" applyFont="1" applyFill="1" applyBorder="1" applyAlignment="1" applyProtection="1">
      <alignment horizontal="center"/>
      <protection/>
    </xf>
    <xf numFmtId="182" fontId="177" fillId="51" borderId="121" xfId="0" applyNumberFormat="1" applyFont="1" applyFill="1" applyBorder="1" applyAlignment="1" applyProtection="1">
      <alignment horizontal="center"/>
      <protection/>
    </xf>
    <xf numFmtId="182" fontId="178" fillId="43" borderId="121" xfId="0" applyNumberFormat="1" applyFont="1" applyFill="1" applyBorder="1" applyAlignment="1" applyProtection="1">
      <alignment horizontal="center"/>
      <protection/>
    </xf>
    <xf numFmtId="182" fontId="43" fillId="52" borderId="121" xfId="0" applyNumberFormat="1" applyFont="1" applyFill="1" applyBorder="1" applyAlignment="1" applyProtection="1">
      <alignment horizontal="center"/>
      <protection/>
    </xf>
    <xf numFmtId="182" fontId="44" fillId="52" borderId="121" xfId="0" applyNumberFormat="1" applyFont="1" applyFill="1" applyBorder="1" applyAlignment="1" applyProtection="1">
      <alignment horizontal="center"/>
      <protection/>
    </xf>
    <xf numFmtId="182" fontId="179" fillId="52" borderId="121" xfId="0" applyNumberFormat="1" applyFont="1" applyFill="1" applyBorder="1" applyAlignment="1" applyProtection="1">
      <alignment horizontal="center"/>
      <protection/>
    </xf>
    <xf numFmtId="182" fontId="178" fillId="52" borderId="121" xfId="0" applyNumberFormat="1" applyFont="1" applyFill="1" applyBorder="1" applyAlignment="1" applyProtection="1">
      <alignment horizontal="center"/>
      <protection/>
    </xf>
    <xf numFmtId="182" fontId="43" fillId="40" borderId="121" xfId="0" applyNumberFormat="1" applyFont="1" applyFill="1" applyBorder="1" applyAlignment="1" applyProtection="1">
      <alignment horizontal="center"/>
      <protection/>
    </xf>
    <xf numFmtId="182" fontId="44" fillId="40" borderId="121" xfId="0" applyNumberFormat="1" applyFont="1" applyFill="1" applyBorder="1" applyAlignment="1" applyProtection="1">
      <alignment horizontal="center"/>
      <protection/>
    </xf>
    <xf numFmtId="182" fontId="180" fillId="40" borderId="121" xfId="0" applyNumberFormat="1" applyFont="1" applyFill="1" applyBorder="1" applyAlignment="1" applyProtection="1">
      <alignment horizontal="center"/>
      <protection/>
    </xf>
    <xf numFmtId="182" fontId="181" fillId="40" borderId="121" xfId="0" applyNumberFormat="1" applyFont="1" applyFill="1" applyBorder="1" applyAlignment="1" applyProtection="1">
      <alignment horizontal="center"/>
      <protection/>
    </xf>
    <xf numFmtId="182" fontId="22" fillId="38" borderId="122" xfId="0" applyNumberFormat="1" applyFont="1" applyFill="1" applyBorder="1" applyAlignment="1" applyProtection="1">
      <alignment horizontal="center"/>
      <protection/>
    </xf>
    <xf numFmtId="182" fontId="22" fillId="38" borderId="123" xfId="0" applyNumberFormat="1" applyFont="1" applyFill="1" applyBorder="1" applyAlignment="1" applyProtection="1">
      <alignment horizontal="center"/>
      <protection/>
    </xf>
    <xf numFmtId="182" fontId="166" fillId="38" borderId="122" xfId="0" applyNumberFormat="1" applyFont="1" applyFill="1" applyBorder="1" applyAlignment="1" applyProtection="1">
      <alignment horizontal="center"/>
      <protection/>
    </xf>
    <xf numFmtId="182" fontId="166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8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8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82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8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8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8" fillId="44" borderId="10" xfId="0" applyNumberFormat="1" applyFont="1" applyFill="1" applyBorder="1" applyAlignment="1" applyProtection="1">
      <alignment/>
      <protection locked="0"/>
    </xf>
    <xf numFmtId="174" fontId="167" fillId="32" borderId="0" xfId="0" applyNumberFormat="1" applyFont="1" applyFill="1" applyBorder="1" applyAlignment="1" applyProtection="1" quotePrefix="1">
      <alignment horizontal="center"/>
      <protection/>
    </xf>
    <xf numFmtId="174" fontId="167" fillId="33" borderId="0" xfId="0" applyNumberFormat="1" applyFont="1" applyFill="1" applyBorder="1" applyAlignment="1" applyProtection="1" quotePrefix="1">
      <alignment horizontal="center"/>
      <protection/>
    </xf>
    <xf numFmtId="0" fontId="153" fillId="32" borderId="72" xfId="57" applyFont="1" applyFill="1" applyBorder="1">
      <alignment/>
      <protection/>
    </xf>
    <xf numFmtId="0" fontId="26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2" borderId="17" xfId="57" applyFont="1" applyFill="1" applyBorder="1">
      <alignment/>
      <protection/>
    </xf>
    <xf numFmtId="0" fontId="26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3" fillId="32" borderId="17" xfId="57" applyFont="1" applyFill="1" applyBorder="1">
      <alignment/>
      <protection/>
    </xf>
    <xf numFmtId="0" fontId="153" fillId="32" borderId="30" xfId="57" applyFont="1" applyFill="1" applyBorder="1">
      <alignment/>
      <protection/>
    </xf>
    <xf numFmtId="0" fontId="26" fillId="32" borderId="19" xfId="57" applyFont="1" applyFill="1" applyBorder="1">
      <alignment/>
      <protection/>
    </xf>
    <xf numFmtId="0" fontId="153" fillId="32" borderId="72" xfId="57" applyFont="1" applyFill="1" applyBorder="1" quotePrefix="1">
      <alignment/>
      <protection/>
    </xf>
    <xf numFmtId="0" fontId="153" fillId="32" borderId="17" xfId="57" applyFont="1" applyFill="1" applyBorder="1" quotePrefix="1">
      <alignment/>
      <protection/>
    </xf>
    <xf numFmtId="176" fontId="32" fillId="53" borderId="0" xfId="57" applyNumberFormat="1" applyFont="1" applyFill="1" applyBorder="1" applyAlignment="1">
      <alignment horizontal="center"/>
      <protection/>
    </xf>
    <xf numFmtId="179" fontId="32" fillId="53" borderId="0" xfId="57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6" fontId="28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8" fillId="33" borderId="0" xfId="57" applyNumberFormat="1" applyFont="1" applyFill="1" applyBorder="1" applyAlignment="1">
      <alignment/>
      <protection/>
    </xf>
    <xf numFmtId="179" fontId="28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16" fillId="38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16" fillId="32" borderId="19" xfId="57" applyFont="1" applyFill="1" applyBorder="1">
      <alignment/>
      <protection/>
    </xf>
    <xf numFmtId="0" fontId="16" fillId="32" borderId="20" xfId="57" applyFont="1" applyFill="1" applyBorder="1">
      <alignment/>
      <protection/>
    </xf>
    <xf numFmtId="0" fontId="16" fillId="32" borderId="72" xfId="57" applyFont="1" applyFill="1" applyBorder="1">
      <alignment/>
      <protection/>
    </xf>
    <xf numFmtId="0" fontId="16" fillId="32" borderId="17" xfId="57" applyFont="1" applyFill="1" applyBorder="1">
      <alignment/>
      <protection/>
    </xf>
    <xf numFmtId="0" fontId="16" fillId="32" borderId="0" xfId="57" applyFont="1" applyFill="1" applyBorder="1">
      <alignment/>
      <protection/>
    </xf>
    <xf numFmtId="0" fontId="16" fillId="32" borderId="18" xfId="57" applyFont="1" applyFill="1" applyBorder="1">
      <alignment/>
      <protection/>
    </xf>
    <xf numFmtId="0" fontId="16" fillId="32" borderId="30" xfId="57" applyFont="1" applyFill="1" applyBorder="1">
      <alignment/>
      <protection/>
    </xf>
    <xf numFmtId="0" fontId="16" fillId="38" borderId="19" xfId="57" applyFont="1" applyFill="1" applyBorder="1">
      <alignment/>
      <protection/>
    </xf>
    <xf numFmtId="0" fontId="16" fillId="38" borderId="15" xfId="57" applyFont="1" applyFill="1" applyBorder="1">
      <alignment/>
      <protection/>
    </xf>
    <xf numFmtId="0" fontId="16" fillId="37" borderId="0" xfId="57" applyFont="1" applyFill="1">
      <alignment/>
      <protection/>
    </xf>
    <xf numFmtId="193" fontId="150" fillId="40" borderId="28" xfId="58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9" fontId="28" fillId="33" borderId="0" xfId="57" applyNumberFormat="1" applyFont="1" applyFill="1" applyBorder="1" applyAlignment="1">
      <alignment horizontal="center"/>
      <protection/>
    </xf>
    <xf numFmtId="177" fontId="28" fillId="53" borderId="0" xfId="57" applyNumberFormat="1" applyFont="1" applyFill="1" applyBorder="1" applyAlignment="1">
      <alignment horizontal="center"/>
      <protection/>
    </xf>
    <xf numFmtId="177" fontId="28" fillId="33" borderId="0" xfId="57" applyNumberFormat="1" applyFont="1" applyFill="1" applyBorder="1" applyAlignment="1">
      <alignment horizontal="center"/>
      <protection/>
    </xf>
    <xf numFmtId="176" fontId="28" fillId="32" borderId="0" xfId="57" applyNumberFormat="1" applyFont="1" applyFill="1" applyBorder="1" applyAlignment="1">
      <alignment horizontal="center"/>
      <protection/>
    </xf>
    <xf numFmtId="178" fontId="28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28" fillId="38" borderId="0" xfId="57" applyNumberFormat="1" applyFont="1" applyFill="1" applyBorder="1" applyAlignment="1">
      <alignment horizontal="center"/>
      <protection/>
    </xf>
    <xf numFmtId="38" fontId="182" fillId="44" borderId="46" xfId="64" applyNumberFormat="1" applyFont="1" applyFill="1" applyBorder="1" applyAlignment="1" applyProtection="1">
      <alignment horizontal="center"/>
      <protection/>
    </xf>
    <xf numFmtId="38" fontId="182" fillId="44" borderId="47" xfId="64" applyNumberFormat="1" applyFont="1" applyFill="1" applyBorder="1" applyAlignment="1" applyProtection="1">
      <alignment horizontal="center"/>
      <protection/>
    </xf>
    <xf numFmtId="38" fontId="182" fillId="44" borderId="48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186" fontId="183" fillId="46" borderId="32" xfId="57" applyNumberFormat="1" applyFont="1" applyFill="1" applyBorder="1" applyAlignment="1" applyProtection="1">
      <alignment horizontal="center" vertical="center"/>
      <protection locked="0"/>
    </xf>
    <xf numFmtId="186" fontId="183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22" fillId="46" borderId="46" xfId="64" applyNumberFormat="1" applyFont="1" applyFill="1" applyBorder="1" applyAlignment="1" applyProtection="1">
      <alignment horizontal="center"/>
      <protection/>
    </xf>
    <xf numFmtId="38" fontId="22" fillId="46" borderId="47" xfId="64" applyNumberFormat="1" applyFont="1" applyFill="1" applyBorder="1" applyAlignment="1" applyProtection="1">
      <alignment horizontal="center"/>
      <protection/>
    </xf>
    <xf numFmtId="38" fontId="22" fillId="46" borderId="48" xfId="64" applyNumberFormat="1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16" fillId="33" borderId="64" xfId="64" applyNumberFormat="1" applyFont="1" applyFill="1" applyBorder="1" applyAlignment="1" applyProtection="1">
      <alignment horizontal="center"/>
      <protection/>
    </xf>
    <xf numFmtId="38" fontId="16" fillId="33" borderId="53" xfId="64" applyNumberFormat="1" applyFont="1" applyFill="1" applyBorder="1" applyAlignment="1" applyProtection="1">
      <alignment horizontal="center"/>
      <protection/>
    </xf>
    <xf numFmtId="38" fontId="16" fillId="33" borderId="54" xfId="64" applyNumberFormat="1" applyFont="1" applyFill="1" applyBorder="1" applyAlignment="1" applyProtection="1">
      <alignment horizontal="center"/>
      <protection/>
    </xf>
    <xf numFmtId="38" fontId="51" fillId="33" borderId="66" xfId="64" applyNumberFormat="1" applyFont="1" applyFill="1" applyBorder="1" applyAlignment="1" applyProtection="1">
      <alignment horizontal="center"/>
      <protection/>
    </xf>
    <xf numFmtId="38" fontId="51" fillId="33" borderId="49" xfId="64" applyNumberFormat="1" applyFont="1" applyFill="1" applyBorder="1" applyAlignment="1" applyProtection="1">
      <alignment horizontal="center"/>
      <protection/>
    </xf>
    <xf numFmtId="38" fontId="51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62" fillId="47" borderId="69" xfId="64" applyNumberFormat="1" applyFont="1" applyFill="1" applyBorder="1" applyAlignment="1" applyProtection="1">
      <alignment horizontal="center"/>
      <protection/>
    </xf>
    <xf numFmtId="38" fontId="162" fillId="47" borderId="19" xfId="64" applyNumberFormat="1" applyFont="1" applyFill="1" applyBorder="1" applyAlignment="1" applyProtection="1">
      <alignment horizontal="center"/>
      <protection/>
    </xf>
    <xf numFmtId="38" fontId="162" fillId="47" borderId="62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38" fontId="28" fillId="44" borderId="55" xfId="64" applyNumberFormat="1" applyFont="1" applyFill="1" applyBorder="1" applyAlignment="1" applyProtection="1">
      <alignment horizontal="center"/>
      <protection/>
    </xf>
    <xf numFmtId="38" fontId="28" fillId="44" borderId="57" xfId="64" applyNumberFormat="1" applyFont="1" applyFill="1" applyBorder="1" applyAlignment="1" applyProtection="1">
      <alignment horizontal="center"/>
      <protection/>
    </xf>
    <xf numFmtId="38" fontId="28" fillId="44" borderId="58" xfId="64" applyNumberFormat="1" applyFont="1" applyFill="1" applyBorder="1" applyAlignment="1" applyProtection="1">
      <alignment horizontal="center"/>
      <protection/>
    </xf>
    <xf numFmtId="38" fontId="28" fillId="44" borderId="63" xfId="64" applyNumberFormat="1" applyFont="1" applyFill="1" applyBorder="1" applyAlignment="1" applyProtection="1">
      <alignment horizontal="center"/>
      <protection/>
    </xf>
    <xf numFmtId="38" fontId="28" fillId="44" borderId="51" xfId="64" applyNumberFormat="1" applyFont="1" applyFill="1" applyBorder="1" applyAlignment="1" applyProtection="1">
      <alignment horizontal="center"/>
      <protection/>
    </xf>
    <xf numFmtId="38" fontId="28" fillId="44" borderId="52" xfId="64" applyNumberFormat="1" applyFont="1" applyFill="1" applyBorder="1" applyAlignment="1" applyProtection="1">
      <alignment horizontal="center"/>
      <protection/>
    </xf>
    <xf numFmtId="38" fontId="28" fillId="44" borderId="64" xfId="64" applyNumberFormat="1" applyFont="1" applyFill="1" applyBorder="1" applyAlignment="1" applyProtection="1">
      <alignment horizontal="center"/>
      <protection/>
    </xf>
    <xf numFmtId="38" fontId="28" fillId="44" borderId="53" xfId="64" applyNumberFormat="1" applyFont="1" applyFill="1" applyBorder="1" applyAlignment="1" applyProtection="1">
      <alignment horizontal="center"/>
      <protection/>
    </xf>
    <xf numFmtId="38" fontId="28" fillId="44" borderId="54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28" fillId="54" borderId="46" xfId="64" applyNumberFormat="1" applyFont="1" applyFill="1" applyBorder="1" applyAlignment="1" applyProtection="1">
      <alignment horizontal="center"/>
      <protection/>
    </xf>
    <xf numFmtId="38" fontId="28" fillId="54" borderId="47" xfId="64" applyNumberFormat="1" applyFont="1" applyFill="1" applyBorder="1" applyAlignment="1" applyProtection="1">
      <alignment horizontal="center"/>
      <protection/>
    </xf>
    <xf numFmtId="38" fontId="28" fillId="54" borderId="48" xfId="64" applyNumberFormat="1" applyFont="1" applyFill="1" applyBorder="1" applyAlignment="1" applyProtection="1">
      <alignment horizontal="center"/>
      <protection/>
    </xf>
    <xf numFmtId="0" fontId="184" fillId="32" borderId="0" xfId="60" applyFont="1" applyFill="1" applyBorder="1" applyAlignment="1" applyProtection="1">
      <alignment horizontal="center"/>
      <protection/>
    </xf>
    <xf numFmtId="185" fontId="159" fillId="33" borderId="32" xfId="60" applyNumberFormat="1" applyFont="1" applyFill="1" applyBorder="1" applyAlignment="1" applyProtection="1">
      <alignment horizontal="center"/>
      <protection/>
    </xf>
    <xf numFmtId="185" fontId="159" fillId="33" borderId="47" xfId="60" applyNumberFormat="1" applyFont="1" applyFill="1" applyBorder="1" applyAlignment="1" applyProtection="1">
      <alignment horizontal="center"/>
      <protection/>
    </xf>
    <xf numFmtId="185" fontId="159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0" fontId="18" fillId="50" borderId="17" xfId="63" applyFont="1" applyFill="1" applyBorder="1" applyAlignment="1" applyProtection="1">
      <alignment horizontal="center" vertical="top"/>
      <protection/>
    </xf>
    <xf numFmtId="0" fontId="18" fillId="50" borderId="0" xfId="63" applyFont="1" applyFill="1" applyBorder="1" applyAlignment="1" applyProtection="1">
      <alignment horizontal="center" vertical="top"/>
      <protection/>
    </xf>
    <xf numFmtId="0" fontId="18" fillId="50" borderId="18" xfId="63" applyFont="1" applyFill="1" applyBorder="1" applyAlignment="1" applyProtection="1">
      <alignment horizontal="center" vertical="top"/>
      <protection/>
    </xf>
    <xf numFmtId="185" fontId="185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187" fontId="150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32" xfId="53" applyFill="1" applyBorder="1" applyAlignment="1" applyProtection="1">
      <alignment horizontal="center" vertical="center"/>
      <protection locked="0"/>
    </xf>
    <xf numFmtId="0" fontId="186" fillId="36" borderId="47" xfId="53" applyFont="1" applyFill="1" applyBorder="1" applyAlignment="1" applyProtection="1">
      <alignment horizontal="center" vertical="center"/>
      <protection locked="0"/>
    </xf>
    <xf numFmtId="0" fontId="186" fillId="36" borderId="33" xfId="53" applyFont="1" applyFill="1" applyBorder="1" applyAlignment="1" applyProtection="1">
      <alignment horizontal="center" vertical="center"/>
      <protection locked="0"/>
    </xf>
    <xf numFmtId="38" fontId="142" fillId="33" borderId="32" xfId="53" applyNumberFormat="1" applyFill="1" applyBorder="1" applyAlignment="1" applyProtection="1">
      <alignment horizontal="center" vertical="center"/>
      <protection locked="0"/>
    </xf>
    <xf numFmtId="38" fontId="187" fillId="33" borderId="47" xfId="53" applyNumberFormat="1" applyFont="1" applyFill="1" applyBorder="1" applyAlignment="1" applyProtection="1">
      <alignment horizontal="center" vertical="center"/>
      <protection locked="0"/>
    </xf>
    <xf numFmtId="38" fontId="187" fillId="33" borderId="33" xfId="53" applyNumberFormat="1" applyFont="1" applyFill="1" applyBorder="1" applyAlignment="1" applyProtection="1">
      <alignment horizontal="center" vertical="center"/>
      <protection locked="0"/>
    </xf>
    <xf numFmtId="0" fontId="59" fillId="50" borderId="124" xfId="63" applyFont="1" applyFill="1" applyBorder="1" applyAlignment="1" applyProtection="1" quotePrefix="1">
      <alignment horizontal="center" wrapText="1"/>
      <protection locked="0"/>
    </xf>
    <xf numFmtId="0" fontId="59" fillId="50" borderId="57" xfId="63" applyFont="1" applyFill="1" applyBorder="1" applyAlignment="1" applyProtection="1">
      <alignment horizontal="center" wrapText="1"/>
      <protection locked="0"/>
    </xf>
    <xf numFmtId="0" fontId="59" fillId="50" borderId="125" xfId="63" applyFont="1" applyFill="1" applyBorder="1" applyAlignment="1" applyProtection="1">
      <alignment horizontal="center" wrapText="1"/>
      <protection locked="0"/>
    </xf>
    <xf numFmtId="1" fontId="57" fillId="33" borderId="32" xfId="0" applyNumberFormat="1" applyFont="1" applyFill="1" applyBorder="1" applyAlignment="1" applyProtection="1">
      <alignment horizontal="center"/>
      <protection locked="0"/>
    </xf>
    <xf numFmtId="1" fontId="57" fillId="33" borderId="47" xfId="0" applyNumberFormat="1" applyFont="1" applyFill="1" applyBorder="1" applyAlignment="1" applyProtection="1">
      <alignment horizontal="center"/>
      <protection locked="0"/>
    </xf>
    <xf numFmtId="1" fontId="57" fillId="33" borderId="33" xfId="0" applyNumberFormat="1" applyFont="1" applyFill="1" applyBorder="1" applyAlignment="1" applyProtection="1">
      <alignment horizontal="center"/>
      <protection locked="0"/>
    </xf>
    <xf numFmtId="0" fontId="188" fillId="32" borderId="49" xfId="57" applyFont="1" applyFill="1" applyBorder="1" applyAlignment="1" applyProtection="1" quotePrefix="1">
      <alignment horizontal="center"/>
      <protection/>
    </xf>
    <xf numFmtId="0" fontId="189" fillId="38" borderId="30" xfId="63" applyFont="1" applyFill="1" applyBorder="1" applyAlignment="1" applyProtection="1">
      <alignment horizontal="center" vertical="center" wrapText="1"/>
      <protection locked="0"/>
    </xf>
    <xf numFmtId="0" fontId="189" fillId="38" borderId="19" xfId="63" applyFont="1" applyFill="1" applyBorder="1" applyAlignment="1" applyProtection="1">
      <alignment horizontal="center" vertical="center" wrapText="1"/>
      <protection locked="0"/>
    </xf>
    <xf numFmtId="0" fontId="189" fillId="38" borderId="20" xfId="63" applyFont="1" applyFill="1" applyBorder="1" applyAlignment="1" applyProtection="1">
      <alignment horizontal="center" vertical="center" wrapText="1"/>
      <protection locked="0"/>
    </xf>
    <xf numFmtId="0" fontId="190" fillId="33" borderId="65" xfId="61" applyFont="1" applyFill="1" applyBorder="1" applyAlignment="1" applyProtection="1">
      <alignment horizontal="center"/>
      <protection/>
    </xf>
    <xf numFmtId="0" fontId="190" fillId="33" borderId="0" xfId="61" applyFont="1" applyFill="1" applyBorder="1" applyAlignment="1" applyProtection="1">
      <alignment horizontal="center"/>
      <protection/>
    </xf>
    <xf numFmtId="0" fontId="190" fillId="33" borderId="34" xfId="61" applyFont="1" applyFill="1" applyBorder="1" applyAlignment="1" applyProtection="1">
      <alignment horizontal="center"/>
      <protection/>
    </xf>
    <xf numFmtId="0" fontId="168" fillId="49" borderId="119" xfId="61" applyFont="1" applyFill="1" applyBorder="1" applyAlignment="1" applyProtection="1">
      <alignment horizontal="center"/>
      <protection/>
    </xf>
    <xf numFmtId="0" fontId="34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5" fillId="33" borderId="0" xfId="60" applyNumberFormat="1" applyFont="1" applyFill="1" applyBorder="1" applyAlignment="1" applyProtection="1">
      <alignment horizontal="center"/>
      <protection/>
    </xf>
    <xf numFmtId="0" fontId="188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90" fillId="33" borderId="119" xfId="61" applyFont="1" applyFill="1" applyBorder="1" applyAlignment="1" applyProtection="1">
      <alignment horizontal="center"/>
      <protection/>
    </xf>
    <xf numFmtId="0" fontId="190" fillId="33" borderId="126" xfId="61" applyFont="1" applyFill="1" applyBorder="1" applyAlignment="1" applyProtection="1">
      <alignment horizontal="center"/>
      <protection/>
    </xf>
    <xf numFmtId="0" fontId="22" fillId="36" borderId="124" xfId="63" applyFont="1" applyFill="1" applyBorder="1" applyAlignment="1" applyProtection="1" quotePrefix="1">
      <alignment horizontal="center" wrapText="1"/>
      <protection/>
    </xf>
    <xf numFmtId="0" fontId="22" fillId="36" borderId="57" xfId="63" applyFont="1" applyFill="1" applyBorder="1" applyAlignment="1" applyProtection="1">
      <alignment horizontal="center" wrapText="1"/>
      <protection/>
    </xf>
    <xf numFmtId="0" fontId="22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83" fillId="46" borderId="32" xfId="57" applyNumberFormat="1" applyFont="1" applyFill="1" applyBorder="1" applyAlignment="1" applyProtection="1">
      <alignment horizontal="center" vertical="center"/>
      <protection/>
    </xf>
    <xf numFmtId="186" fontId="183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62" fillId="33" borderId="30" xfId="63" applyFont="1" applyFill="1" applyBorder="1" applyAlignment="1" applyProtection="1">
      <alignment horizontal="center" vertical="center" wrapText="1"/>
      <protection/>
    </xf>
    <xf numFmtId="0" fontId="62" fillId="33" borderId="19" xfId="63" applyFont="1" applyFill="1" applyBorder="1" applyAlignment="1" applyProtection="1">
      <alignment horizontal="center" vertical="center" wrapText="1"/>
      <protection/>
    </xf>
    <xf numFmtId="0" fontId="62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91" fillId="36" borderId="32" xfId="53" applyFont="1" applyFill="1" applyBorder="1" applyAlignment="1" applyProtection="1">
      <alignment horizontal="center" vertical="center"/>
      <protection/>
    </xf>
    <xf numFmtId="0" fontId="191" fillId="36" borderId="47" xfId="53" applyFont="1" applyFill="1" applyBorder="1" applyAlignment="1" applyProtection="1">
      <alignment horizontal="center" vertical="center"/>
      <protection/>
    </xf>
    <xf numFmtId="0" fontId="191" fillId="36" borderId="33" xfId="53" applyFont="1" applyFill="1" applyBorder="1" applyAlignment="1" applyProtection="1">
      <alignment horizontal="center" vertical="center"/>
      <protection/>
    </xf>
    <xf numFmtId="1" fontId="57" fillId="33" borderId="60" xfId="0" applyNumberFormat="1" applyFont="1" applyFill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22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68">
        <f>+'Cash-Flow-2018-Leva'!P5</f>
        <v>2018</v>
      </c>
      <c r="M2" s="568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3">
        <f>+'Cash-Flow-2018-Leva'!P5</f>
        <v>2018</v>
      </c>
      <c r="I7" s="573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79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79" t="s">
        <v>335</v>
      </c>
      <c r="E15" s="546">
        <f>+H7-1</f>
        <v>2017</v>
      </c>
      <c r="F15" s="479" t="s">
        <v>336</v>
      </c>
      <c r="G15" s="67"/>
      <c r="H15" s="67"/>
      <c r="I15" s="67"/>
      <c r="J15" s="479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7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78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9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5" t="s">
        <v>314</v>
      </c>
      <c r="E24" s="536"/>
      <c r="F24" s="536"/>
      <c r="G24" s="536"/>
      <c r="H24" s="536"/>
      <c r="I24" s="536"/>
      <c r="J24" s="536"/>
      <c r="K24" s="536"/>
      <c r="L24" s="537"/>
      <c r="M24" s="53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1" t="s">
        <v>315</v>
      </c>
      <c r="E25" s="539"/>
      <c r="F25" s="539"/>
      <c r="G25" s="539"/>
      <c r="H25" s="539"/>
      <c r="I25" s="539"/>
      <c r="J25" s="539"/>
      <c r="K25" s="539"/>
      <c r="L25" s="540"/>
      <c r="M25" s="540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1" t="s">
        <v>311</v>
      </c>
      <c r="E26" s="539"/>
      <c r="F26" s="539"/>
      <c r="G26" s="539"/>
      <c r="H26" s="539"/>
      <c r="I26" s="539"/>
      <c r="J26" s="539"/>
      <c r="K26" s="539"/>
      <c r="L26" s="93"/>
      <c r="M26" s="540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1" t="s">
        <v>318</v>
      </c>
      <c r="E27" s="539"/>
      <c r="F27" s="539"/>
      <c r="G27" s="539"/>
      <c r="H27" s="539"/>
      <c r="I27" s="539"/>
      <c r="J27" s="539"/>
      <c r="K27" s="539"/>
      <c r="L27" s="93"/>
      <c r="M27" s="540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38" t="s">
        <v>319</v>
      </c>
      <c r="E28" s="539"/>
      <c r="F28" s="539"/>
      <c r="G28" s="539"/>
      <c r="H28" s="539"/>
      <c r="I28" s="539"/>
      <c r="J28" s="539"/>
      <c r="K28" s="539"/>
      <c r="L28" s="93"/>
      <c r="M28" s="540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38" t="s">
        <v>316</v>
      </c>
      <c r="E29" s="539"/>
      <c r="F29" s="539"/>
      <c r="G29" s="539"/>
      <c r="H29" s="539"/>
      <c r="I29" s="539"/>
      <c r="J29" s="539"/>
      <c r="K29" s="539"/>
      <c r="L29" s="93"/>
      <c r="M29" s="540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1" t="s">
        <v>310</v>
      </c>
      <c r="E30" s="539"/>
      <c r="F30" s="539"/>
      <c r="G30" s="539"/>
      <c r="H30" s="539"/>
      <c r="I30" s="539"/>
      <c r="J30" s="539"/>
      <c r="K30" s="539"/>
      <c r="L30" s="93"/>
      <c r="M30" s="540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2" t="s">
        <v>312</v>
      </c>
      <c r="E31" s="543"/>
      <c r="F31" s="543"/>
      <c r="G31" s="543"/>
      <c r="H31" s="543"/>
      <c r="I31" s="543"/>
      <c r="J31" s="543"/>
      <c r="K31" s="543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5">
        <f>+'Cash-Flow-2018-Leva'!P5</f>
        <v>2018</v>
      </c>
      <c r="G34" s="575"/>
      <c r="H34" s="575"/>
      <c r="I34" s="575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79" t="s">
        <v>342</v>
      </c>
      <c r="E37" s="67"/>
      <c r="F37" s="67"/>
      <c r="G37" s="67"/>
      <c r="H37" s="67"/>
      <c r="I37" s="67"/>
      <c r="J37" s="67"/>
      <c r="K37" s="548">
        <f>+H7</f>
        <v>2018</v>
      </c>
      <c r="L37" s="549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79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79" t="s">
        <v>274</v>
      </c>
      <c r="E41" s="67"/>
      <c r="F41" s="67"/>
      <c r="G41" s="569">
        <f>+H7</f>
        <v>2018</v>
      </c>
      <c r="H41" s="569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79" t="s">
        <v>347</v>
      </c>
      <c r="E43" s="67"/>
      <c r="F43" s="550"/>
      <c r="G43" s="550"/>
      <c r="H43" s="550"/>
      <c r="I43" s="551"/>
      <c r="J43" s="548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1">
        <f>+F34-1</f>
        <v>2017</v>
      </c>
      <c r="M44" s="571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79" t="s">
        <v>277</v>
      </c>
      <c r="E45" s="67"/>
      <c r="F45" s="550"/>
      <c r="G45" s="550"/>
      <c r="H45" s="550"/>
      <c r="I45" s="551"/>
      <c r="J45" s="552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79" t="s">
        <v>276</v>
      </c>
      <c r="E46" s="67"/>
      <c r="F46" s="550"/>
      <c r="G46" s="570">
        <f>+H7-1</f>
        <v>2017</v>
      </c>
      <c r="H46" s="570"/>
      <c r="I46" s="553" t="s">
        <v>349</v>
      </c>
      <c r="J46" s="550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7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4" t="s">
        <v>320</v>
      </c>
      <c r="E52" s="536"/>
      <c r="F52" s="536"/>
      <c r="G52" s="536"/>
      <c r="H52" s="536"/>
      <c r="I52" s="536"/>
      <c r="J52" s="536"/>
      <c r="K52" s="536"/>
      <c r="L52" s="537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1" t="s">
        <v>317</v>
      </c>
      <c r="E53" s="539"/>
      <c r="F53" s="539"/>
      <c r="G53" s="539"/>
      <c r="H53" s="539"/>
      <c r="I53" s="539"/>
      <c r="J53" s="539"/>
      <c r="K53" s="539"/>
      <c r="L53" s="540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1" t="s">
        <v>323</v>
      </c>
      <c r="E54" s="539"/>
      <c r="F54" s="539"/>
      <c r="G54" s="539"/>
      <c r="H54" s="539"/>
      <c r="I54" s="539"/>
      <c r="J54" s="539"/>
      <c r="K54" s="539"/>
      <c r="L54" s="540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5" t="s">
        <v>321</v>
      </c>
      <c r="E55" s="539"/>
      <c r="F55" s="539"/>
      <c r="G55" s="539"/>
      <c r="H55" s="539"/>
      <c r="I55" s="539"/>
      <c r="J55" s="539"/>
      <c r="K55" s="539"/>
      <c r="L55" s="540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38" t="s">
        <v>325</v>
      </c>
      <c r="E56" s="539"/>
      <c r="F56" s="539"/>
      <c r="G56" s="539"/>
      <c r="H56" s="539"/>
      <c r="I56" s="539"/>
      <c r="J56" s="539"/>
      <c r="K56" s="539"/>
      <c r="L56" s="540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5" t="s">
        <v>322</v>
      </c>
      <c r="E57" s="539"/>
      <c r="F57" s="539"/>
      <c r="G57" s="539"/>
      <c r="H57" s="539"/>
      <c r="I57" s="539"/>
      <c r="J57" s="539"/>
      <c r="K57" s="539"/>
      <c r="L57" s="540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1" t="s">
        <v>324</v>
      </c>
      <c r="E58" s="539"/>
      <c r="F58" s="539"/>
      <c r="G58" s="539"/>
      <c r="H58" s="539"/>
      <c r="I58" s="539"/>
      <c r="J58" s="539"/>
      <c r="K58" s="539"/>
      <c r="L58" s="540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1" t="s">
        <v>326</v>
      </c>
      <c r="E59" s="539"/>
      <c r="F59" s="539"/>
      <c r="G59" s="539"/>
      <c r="H59" s="539"/>
      <c r="I59" s="539"/>
      <c r="J59" s="539"/>
      <c r="K59" s="539"/>
      <c r="L59" s="540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2"/>
      <c r="E60" s="543"/>
      <c r="F60" s="543"/>
      <c r="G60" s="543"/>
      <c r="H60" s="543"/>
      <c r="I60" s="543"/>
      <c r="J60" s="543"/>
      <c r="K60" s="543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4" t="s">
        <v>278</v>
      </c>
      <c r="E61" s="554"/>
      <c r="F61" s="554"/>
      <c r="G61" s="554"/>
      <c r="H61" s="554"/>
      <c r="I61" s="554"/>
      <c r="J61" s="554"/>
      <c r="K61" s="554"/>
      <c r="L61" s="554"/>
      <c r="M61" s="554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4" t="s">
        <v>37</v>
      </c>
      <c r="E62" s="554"/>
      <c r="F62" s="554"/>
      <c r="G62" s="554"/>
      <c r="H62" s="554"/>
      <c r="I62" s="554"/>
      <c r="J62" s="554"/>
      <c r="K62" s="554"/>
      <c r="L62" s="554"/>
      <c r="M62" s="554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4" t="s">
        <v>38</v>
      </c>
      <c r="E63" s="554"/>
      <c r="F63" s="554"/>
      <c r="G63" s="554"/>
      <c r="H63" s="554"/>
      <c r="I63" s="554"/>
      <c r="J63" s="554"/>
      <c r="K63" s="554"/>
      <c r="L63" s="554"/>
      <c r="M63" s="554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4" t="s">
        <v>39</v>
      </c>
      <c r="E64" s="554"/>
      <c r="F64" s="554"/>
      <c r="G64" s="554"/>
      <c r="H64" s="554"/>
      <c r="I64" s="554"/>
      <c r="J64" s="554"/>
      <c r="K64" s="554"/>
      <c r="L64" s="554"/>
      <c r="M64" s="554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4" t="s">
        <v>40</v>
      </c>
      <c r="E65" s="554"/>
      <c r="F65" s="554"/>
      <c r="G65" s="554"/>
      <c r="H65" s="554"/>
      <c r="I65" s="554"/>
      <c r="J65" s="554"/>
      <c r="K65" s="554"/>
      <c r="L65" s="554"/>
      <c r="M65" s="554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4" t="s">
        <v>31</v>
      </c>
      <c r="E66" s="554"/>
      <c r="F66" s="554"/>
      <c r="G66" s="554"/>
      <c r="H66" s="554"/>
      <c r="I66" s="554"/>
      <c r="J66" s="554"/>
      <c r="K66" s="554"/>
      <c r="L66" s="554"/>
      <c r="M66" s="554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4" t="s">
        <v>355</v>
      </c>
      <c r="E67" s="554"/>
      <c r="F67" s="554"/>
      <c r="G67" s="554"/>
      <c r="H67" s="554"/>
      <c r="I67" s="554"/>
      <c r="J67" s="554"/>
      <c r="K67" s="554"/>
      <c r="L67" s="554"/>
      <c r="M67" s="554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4"/>
      <c r="E68" s="554"/>
      <c r="F68" s="554"/>
      <c r="G68" s="554"/>
      <c r="H68" s="554"/>
      <c r="I68" s="554"/>
      <c r="J68" s="554"/>
      <c r="K68" s="554"/>
      <c r="L68" s="554"/>
      <c r="M68" s="554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4"/>
      <c r="E69" s="554"/>
      <c r="F69" s="576">
        <f>+'Cash-Flow-2018-Leva'!P5</f>
        <v>2018</v>
      </c>
      <c r="G69" s="576"/>
      <c r="H69" s="576"/>
      <c r="I69" s="576"/>
      <c r="J69" s="554"/>
      <c r="K69" s="554"/>
      <c r="L69" s="554"/>
      <c r="M69" s="554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4" t="s">
        <v>21</v>
      </c>
      <c r="E70" s="554"/>
      <c r="F70" s="554"/>
      <c r="G70" s="577">
        <f>+'Cash-Flow-2018-Leva'!P5</f>
        <v>2018</v>
      </c>
      <c r="H70" s="577"/>
      <c r="I70" s="577"/>
      <c r="J70" s="554" t="s">
        <v>22</v>
      </c>
      <c r="K70" s="554"/>
      <c r="L70" s="554"/>
      <c r="M70" s="554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4" t="s">
        <v>23</v>
      </c>
      <c r="E71" s="554"/>
      <c r="F71" s="572">
        <f>+'Cash-Flow-2018-Leva'!P5</f>
        <v>2018</v>
      </c>
      <c r="G71" s="572"/>
      <c r="H71" s="572"/>
      <c r="I71" s="572"/>
      <c r="J71" s="554" t="s">
        <v>356</v>
      </c>
      <c r="K71" s="554"/>
      <c r="L71" s="554"/>
      <c r="M71" s="554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4" t="s">
        <v>357</v>
      </c>
      <c r="E72" s="554"/>
      <c r="F72" s="554"/>
      <c r="G72" s="554"/>
      <c r="H72" s="554"/>
      <c r="I72" s="554"/>
      <c r="J72" s="554"/>
      <c r="K72" s="554"/>
      <c r="L72" s="554"/>
      <c r="M72" s="554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4" t="s">
        <v>24</v>
      </c>
      <c r="E73" s="554"/>
      <c r="F73" s="554"/>
      <c r="G73" s="554"/>
      <c r="H73" s="554"/>
      <c r="I73" s="554"/>
      <c r="J73" s="554"/>
      <c r="K73" s="554"/>
      <c r="L73" s="554"/>
      <c r="M73" s="554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4" t="s">
        <v>26</v>
      </c>
      <c r="E74" s="554"/>
      <c r="F74" s="554"/>
      <c r="G74" s="554"/>
      <c r="H74" s="554"/>
      <c r="I74" s="554"/>
      <c r="J74" s="554"/>
      <c r="K74" s="554"/>
      <c r="L74" s="554"/>
      <c r="M74" s="554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4" t="s">
        <v>25</v>
      </c>
      <c r="E75" s="554"/>
      <c r="F75" s="554"/>
      <c r="G75" s="554"/>
      <c r="H75" s="554"/>
      <c r="I75" s="554"/>
      <c r="J75" s="554"/>
      <c r="K75" s="554"/>
      <c r="L75" s="554"/>
      <c r="M75" s="554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4" t="s">
        <v>358</v>
      </c>
      <c r="E76" s="554"/>
      <c r="F76" s="554"/>
      <c r="G76" s="554"/>
      <c r="H76" s="554"/>
      <c r="I76" s="554"/>
      <c r="J76" s="554"/>
      <c r="K76" s="554"/>
      <c r="L76" s="554"/>
      <c r="M76" s="554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4" t="s">
        <v>28</v>
      </c>
      <c r="E77" s="554"/>
      <c r="F77" s="554"/>
      <c r="G77" s="554"/>
      <c r="H77" s="554"/>
      <c r="I77" s="554"/>
      <c r="J77" s="554"/>
      <c r="K77" s="554"/>
      <c r="L77" s="554"/>
      <c r="M77" s="554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5" t="s">
        <v>359</v>
      </c>
      <c r="E78" s="554"/>
      <c r="F78" s="554"/>
      <c r="G78" s="554"/>
      <c r="H78" s="554"/>
      <c r="I78" s="554"/>
      <c r="J78" s="554"/>
      <c r="K78" s="554"/>
      <c r="L78" s="554"/>
      <c r="M78" s="554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4" t="s">
        <v>360</v>
      </c>
      <c r="E79" s="554"/>
      <c r="F79" s="554"/>
      <c r="G79" s="554"/>
      <c r="H79" s="554"/>
      <c r="I79" s="554"/>
      <c r="J79" s="554"/>
      <c r="K79" s="554"/>
      <c r="L79" s="554"/>
      <c r="M79" s="554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4" t="s">
        <v>27</v>
      </c>
      <c r="E80" s="554"/>
      <c r="F80" s="554"/>
      <c r="G80" s="554"/>
      <c r="H80" s="554"/>
      <c r="I80" s="554"/>
      <c r="J80" s="554"/>
      <c r="K80" s="554"/>
      <c r="L80" s="554"/>
      <c r="M80" s="555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4"/>
      <c r="E81" s="556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4"/>
      <c r="E82" s="557" t="s">
        <v>362</v>
      </c>
      <c r="F82" s="558"/>
      <c r="G82" s="558"/>
      <c r="H82" s="558"/>
      <c r="I82" s="558"/>
      <c r="J82" s="558"/>
      <c r="K82" s="558"/>
      <c r="L82" s="559"/>
      <c r="M82" s="555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5" t="s">
        <v>363</v>
      </c>
      <c r="E83" s="555"/>
      <c r="F83" s="555"/>
      <c r="G83" s="555"/>
      <c r="H83" s="555"/>
      <c r="I83" s="555"/>
      <c r="J83" s="555"/>
      <c r="K83" s="555"/>
      <c r="L83" s="555"/>
      <c r="M83" s="554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5" t="s">
        <v>364</v>
      </c>
      <c r="E84" s="555"/>
      <c r="F84" s="555"/>
      <c r="G84" s="555"/>
      <c r="H84" s="555"/>
      <c r="I84" s="555"/>
      <c r="J84" s="555"/>
      <c r="K84" s="555"/>
      <c r="L84" s="555"/>
      <c r="M84" s="554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5" t="s">
        <v>50</v>
      </c>
      <c r="E85" s="555"/>
      <c r="F85" s="555"/>
      <c r="G85" s="555"/>
      <c r="H85" s="555"/>
      <c r="I85" s="555"/>
      <c r="J85" s="555"/>
      <c r="K85" s="555"/>
      <c r="L85" s="555"/>
      <c r="M85" s="554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5" t="s">
        <v>365</v>
      </c>
      <c r="E86" s="555"/>
      <c r="F86" s="555"/>
      <c r="G86" s="555"/>
      <c r="H86" s="555"/>
      <c r="I86" s="555"/>
      <c r="J86" s="555"/>
      <c r="K86" s="555"/>
      <c r="L86" s="555"/>
      <c r="M86" s="554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5" t="s">
        <v>35</v>
      </c>
      <c r="E87" s="572">
        <f>+'Cash-Flow-2018-Leva'!P5</f>
        <v>2018</v>
      </c>
      <c r="F87" s="572"/>
      <c r="G87" s="572"/>
      <c r="H87" s="572"/>
      <c r="I87" s="555" t="s">
        <v>366</v>
      </c>
      <c r="J87" s="555"/>
      <c r="K87" s="555"/>
      <c r="L87" s="555"/>
      <c r="M87" s="554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4" t="s">
        <v>36</v>
      </c>
      <c r="E88" s="554"/>
      <c r="F88" s="554"/>
      <c r="G88" s="554"/>
      <c r="H88" s="554"/>
      <c r="I88" s="554"/>
      <c r="J88" s="554"/>
      <c r="K88" s="91">
        <f>+'Cash-Flow-2018-Leva'!P5</f>
        <v>2018</v>
      </c>
      <c r="L88" s="554" t="s">
        <v>20</v>
      </c>
      <c r="M88" s="554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0" t="s">
        <v>41</v>
      </c>
      <c r="E89" s="94"/>
      <c r="F89" s="94"/>
      <c r="G89" s="94"/>
      <c r="H89" s="574">
        <f>+'Cash-Flow-2018-Leva'!P5</f>
        <v>2018</v>
      </c>
      <c r="I89" s="574"/>
      <c r="J89" s="574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1" t="s">
        <v>42</v>
      </c>
      <c r="E90" s="99">
        <f>+'Cash-Flow-2018-Leva'!P5</f>
        <v>2018</v>
      </c>
      <c r="F90" s="562" t="s">
        <v>367</v>
      </c>
      <c r="G90" s="562"/>
      <c r="H90" s="562"/>
      <c r="I90" s="562"/>
      <c r="J90" s="562"/>
      <c r="K90" s="562"/>
      <c r="L90" s="562"/>
      <c r="M90" s="563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1" t="s">
        <v>49</v>
      </c>
      <c r="E91" s="562"/>
      <c r="F91" s="562"/>
      <c r="G91" s="562"/>
      <c r="H91" s="562"/>
      <c r="I91" s="562"/>
      <c r="J91" s="562"/>
      <c r="K91" s="97"/>
      <c r="L91" s="562"/>
      <c r="M91" s="563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4" t="s">
        <v>368</v>
      </c>
      <c r="E92" s="558"/>
      <c r="F92" s="558"/>
      <c r="G92" s="558"/>
      <c r="H92" s="558"/>
      <c r="I92" s="558"/>
      <c r="J92" s="558"/>
      <c r="K92" s="98"/>
      <c r="L92" s="100"/>
      <c r="M92" s="559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5"/>
      <c r="E93" s="565"/>
      <c r="F93" s="565"/>
      <c r="G93" s="565"/>
      <c r="H93" s="565"/>
      <c r="I93" s="565"/>
      <c r="J93" s="565"/>
      <c r="K93" s="565"/>
      <c r="L93" s="565"/>
      <c r="M93" s="565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4"/>
      <c r="E94" s="554"/>
      <c r="F94" s="554"/>
      <c r="G94" s="554"/>
      <c r="H94" s="554"/>
      <c r="I94" s="554"/>
      <c r="J94" s="554"/>
      <c r="K94" s="554"/>
      <c r="L94" s="554"/>
      <c r="M94" s="554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4" t="s">
        <v>369</v>
      </c>
      <c r="E95" s="554"/>
      <c r="F95" s="554"/>
      <c r="G95" s="554"/>
      <c r="H95" s="554"/>
      <c r="I95" s="554"/>
      <c r="J95" s="554"/>
      <c r="K95" s="554"/>
      <c r="L95" s="554"/>
      <c r="M95" s="554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4" t="s">
        <v>370</v>
      </c>
      <c r="E96" s="554"/>
      <c r="F96" s="554"/>
      <c r="G96" s="554"/>
      <c r="H96" s="554"/>
      <c r="I96" s="554"/>
      <c r="J96" s="554"/>
      <c r="K96" s="554"/>
      <c r="L96" s="554"/>
      <c r="M96" s="554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4" t="s">
        <v>16</v>
      </c>
      <c r="E97" s="554"/>
      <c r="F97" s="554"/>
      <c r="G97" s="554"/>
      <c r="H97" s="554"/>
      <c r="I97" s="554"/>
      <c r="J97" s="554"/>
      <c r="K97" s="554"/>
      <c r="L97" s="554"/>
      <c r="M97" s="554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4" t="s">
        <v>17</v>
      </c>
      <c r="E98" s="554"/>
      <c r="F98" s="554"/>
      <c r="G98" s="554"/>
      <c r="H98" s="554"/>
      <c r="I98" s="554"/>
      <c r="J98" s="554"/>
      <c r="K98" s="554"/>
      <c r="L98" s="554"/>
      <c r="M98" s="554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4" t="s">
        <v>371</v>
      </c>
      <c r="E99" s="554"/>
      <c r="F99" s="554"/>
      <c r="G99" s="554"/>
      <c r="H99" s="554"/>
      <c r="I99" s="554"/>
      <c r="J99" s="554"/>
      <c r="K99" s="554"/>
      <c r="L99" s="554"/>
      <c r="M99" s="554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4" t="s">
        <v>372</v>
      </c>
      <c r="E100" s="554"/>
      <c r="F100" s="554"/>
      <c r="G100" s="554"/>
      <c r="H100" s="554"/>
      <c r="I100" s="554"/>
      <c r="J100" s="554"/>
      <c r="K100" s="554"/>
      <c r="L100" s="554"/>
      <c r="M100" s="554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4" t="s">
        <v>29</v>
      </c>
      <c r="E101" s="554"/>
      <c r="F101" s="554"/>
      <c r="G101" s="554"/>
      <c r="H101" s="554"/>
      <c r="I101" s="554"/>
      <c r="J101" s="554"/>
      <c r="K101" s="554"/>
      <c r="L101" s="554"/>
      <c r="M101" s="554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6"/>
      <c r="E102" s="566"/>
      <c r="F102" s="566"/>
      <c r="G102" s="566"/>
      <c r="H102" s="566"/>
      <c r="I102" s="566"/>
      <c r="J102" s="566"/>
      <c r="K102" s="566"/>
      <c r="L102" s="566"/>
      <c r="M102" s="566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7"/>
      <c r="E103" s="567"/>
      <c r="F103" s="567"/>
      <c r="G103" s="567"/>
      <c r="H103" s="567"/>
      <c r="I103" s="567"/>
      <c r="J103" s="567"/>
      <c r="K103" s="567"/>
      <c r="L103" s="567"/>
      <c r="M103" s="567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7"/>
      <c r="E104" s="567"/>
      <c r="F104" s="567"/>
      <c r="G104" s="567"/>
      <c r="H104" s="567"/>
      <c r="I104" s="567"/>
      <c r="J104" s="567"/>
      <c r="K104" s="567"/>
      <c r="L104" s="567"/>
      <c r="M104" s="567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7"/>
      <c r="E105" s="567"/>
      <c r="F105" s="567"/>
      <c r="G105" s="567"/>
      <c r="H105" s="567"/>
      <c r="I105" s="567"/>
      <c r="J105" s="567"/>
      <c r="K105" s="567"/>
      <c r="L105" s="567"/>
      <c r="M105" s="567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7"/>
      <c r="E106" s="567"/>
      <c r="F106" s="567"/>
      <c r="G106" s="567"/>
      <c r="H106" s="567"/>
      <c r="I106" s="567"/>
      <c r="J106" s="567"/>
      <c r="K106" s="567"/>
      <c r="L106" s="567"/>
      <c r="M106" s="567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7"/>
      <c r="E107" s="567"/>
      <c r="F107" s="567"/>
      <c r="G107" s="567"/>
      <c r="H107" s="567"/>
      <c r="I107" s="567"/>
      <c r="J107" s="567"/>
      <c r="K107" s="567"/>
      <c r="L107" s="567"/>
      <c r="M107" s="567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7"/>
      <c r="E108" s="567"/>
      <c r="F108" s="567"/>
      <c r="G108" s="567"/>
      <c r="H108" s="567"/>
      <c r="I108" s="567"/>
      <c r="J108" s="567"/>
      <c r="K108" s="567"/>
      <c r="L108" s="567"/>
      <c r="M108" s="567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7"/>
      <c r="E109" s="567"/>
      <c r="F109" s="567"/>
      <c r="G109" s="567"/>
      <c r="H109" s="567"/>
      <c r="I109" s="567"/>
      <c r="J109" s="567"/>
      <c r="K109" s="567"/>
      <c r="L109" s="567"/>
      <c r="M109" s="567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7"/>
      <c r="E110" s="567"/>
      <c r="F110" s="567"/>
      <c r="G110" s="567"/>
      <c r="H110" s="567"/>
      <c r="I110" s="567"/>
      <c r="J110" s="567"/>
      <c r="K110" s="567"/>
      <c r="L110" s="567"/>
      <c r="M110" s="567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7"/>
      <c r="E111" s="567"/>
      <c r="F111" s="567"/>
      <c r="G111" s="567"/>
      <c r="H111" s="567"/>
      <c r="I111" s="567"/>
      <c r="J111" s="567"/>
      <c r="K111" s="567"/>
      <c r="L111" s="567"/>
      <c r="M111" s="567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7"/>
      <c r="E112" s="567"/>
      <c r="F112" s="567"/>
      <c r="G112" s="567"/>
      <c r="H112" s="567"/>
      <c r="I112" s="567"/>
      <c r="J112" s="567"/>
      <c r="K112" s="567"/>
      <c r="L112" s="567"/>
      <c r="M112" s="567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7"/>
      <c r="E113" s="567"/>
      <c r="F113" s="567"/>
      <c r="G113" s="567"/>
      <c r="H113" s="567"/>
      <c r="I113" s="567"/>
      <c r="J113" s="567"/>
      <c r="K113" s="567"/>
      <c r="L113" s="567"/>
      <c r="M113" s="567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7"/>
      <c r="E114" s="567"/>
      <c r="F114" s="567"/>
      <c r="G114" s="567"/>
      <c r="H114" s="567"/>
      <c r="I114" s="567"/>
      <c r="J114" s="567"/>
      <c r="K114" s="567"/>
      <c r="L114" s="567"/>
      <c r="M114" s="567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7"/>
      <c r="E115" s="567"/>
      <c r="F115" s="567"/>
      <c r="G115" s="567"/>
      <c r="H115" s="567"/>
      <c r="I115" s="567"/>
      <c r="J115" s="567"/>
      <c r="K115" s="567"/>
      <c r="L115" s="567"/>
      <c r="M115" s="567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7"/>
      <c r="E116" s="567"/>
      <c r="F116" s="567"/>
      <c r="G116" s="567"/>
      <c r="H116" s="567"/>
      <c r="I116" s="567"/>
      <c r="J116" s="567"/>
      <c r="K116" s="567"/>
      <c r="L116" s="567"/>
      <c r="M116" s="567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7"/>
      <c r="E117" s="567"/>
      <c r="F117" s="567"/>
      <c r="G117" s="567"/>
      <c r="H117" s="567"/>
      <c r="I117" s="567"/>
      <c r="J117" s="567"/>
      <c r="K117" s="567"/>
      <c r="L117" s="567"/>
      <c r="M117" s="567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7"/>
      <c r="E118" s="567"/>
      <c r="F118" s="567"/>
      <c r="G118" s="567"/>
      <c r="H118" s="567"/>
      <c r="I118" s="567"/>
      <c r="J118" s="567"/>
      <c r="K118" s="567"/>
      <c r="L118" s="567"/>
      <c r="M118" s="567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7"/>
      <c r="E119" s="567"/>
      <c r="F119" s="567"/>
      <c r="G119" s="567"/>
      <c r="H119" s="567"/>
      <c r="I119" s="567"/>
      <c r="J119" s="567"/>
      <c r="K119" s="567"/>
      <c r="L119" s="567"/>
      <c r="M119" s="567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7"/>
      <c r="E120" s="567"/>
      <c r="F120" s="567"/>
      <c r="G120" s="567"/>
      <c r="H120" s="567"/>
      <c r="I120" s="567"/>
      <c r="J120" s="567"/>
      <c r="K120" s="567"/>
      <c r="L120" s="567"/>
      <c r="M120" s="567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7"/>
      <c r="E121" s="567"/>
      <c r="F121" s="567"/>
      <c r="G121" s="567"/>
      <c r="H121" s="567"/>
      <c r="I121" s="567"/>
      <c r="J121" s="567"/>
      <c r="K121" s="567"/>
      <c r="L121" s="567"/>
      <c r="M121" s="567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7"/>
      <c r="E122" s="567"/>
      <c r="F122" s="567"/>
      <c r="G122" s="567"/>
      <c r="H122" s="567"/>
      <c r="I122" s="567"/>
      <c r="J122" s="567"/>
      <c r="K122" s="567"/>
      <c r="L122" s="567"/>
      <c r="M122" s="567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7"/>
      <c r="E123" s="567"/>
      <c r="F123" s="567"/>
      <c r="G123" s="567"/>
      <c r="H123" s="567"/>
      <c r="I123" s="567"/>
      <c r="J123" s="567"/>
      <c r="K123" s="567"/>
      <c r="L123" s="567"/>
      <c r="M123" s="567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7"/>
      <c r="E124" s="567"/>
      <c r="F124" s="567"/>
      <c r="G124" s="567"/>
      <c r="H124" s="567"/>
      <c r="I124" s="567"/>
      <c r="J124" s="567"/>
      <c r="K124" s="567"/>
      <c r="L124" s="567"/>
      <c r="M124" s="567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7"/>
      <c r="E125" s="567"/>
      <c r="F125" s="567"/>
      <c r="G125" s="567"/>
      <c r="H125" s="567"/>
      <c r="I125" s="567"/>
      <c r="J125" s="567"/>
      <c r="K125" s="567"/>
      <c r="L125" s="567"/>
      <c r="M125" s="567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7"/>
      <c r="E126" s="567"/>
      <c r="F126" s="567"/>
      <c r="G126" s="567"/>
      <c r="H126" s="567"/>
      <c r="I126" s="567"/>
      <c r="J126" s="567"/>
      <c r="K126" s="567"/>
      <c r="L126" s="567"/>
      <c r="M126" s="567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7"/>
      <c r="E127" s="567"/>
      <c r="F127" s="567"/>
      <c r="G127" s="567"/>
      <c r="H127" s="567"/>
      <c r="I127" s="567"/>
      <c r="J127" s="567"/>
      <c r="K127" s="567"/>
      <c r="L127" s="567"/>
      <c r="M127" s="567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7"/>
      <c r="E128" s="567"/>
      <c r="F128" s="567"/>
      <c r="G128" s="567"/>
      <c r="H128" s="567"/>
      <c r="I128" s="567"/>
      <c r="J128" s="567"/>
      <c r="K128" s="567"/>
      <c r="L128" s="567"/>
      <c r="M128" s="567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7"/>
      <c r="E129" s="567"/>
      <c r="F129" s="567"/>
      <c r="G129" s="567"/>
      <c r="H129" s="567"/>
      <c r="I129" s="567"/>
      <c r="J129" s="567"/>
      <c r="K129" s="567"/>
      <c r="L129" s="567"/>
      <c r="M129" s="567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7"/>
      <c r="E130" s="567"/>
      <c r="F130" s="567"/>
      <c r="G130" s="567"/>
      <c r="H130" s="567"/>
      <c r="I130" s="567"/>
      <c r="J130" s="567"/>
      <c r="K130" s="567"/>
      <c r="L130" s="567"/>
      <c r="M130" s="567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7"/>
      <c r="E131" s="567"/>
      <c r="F131" s="567"/>
      <c r="G131" s="567"/>
      <c r="H131" s="567"/>
      <c r="I131" s="567"/>
      <c r="J131" s="567"/>
      <c r="K131" s="567"/>
      <c r="L131" s="567"/>
      <c r="M131" s="567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7"/>
      <c r="E132" s="567"/>
      <c r="F132" s="567"/>
      <c r="G132" s="567"/>
      <c r="H132" s="567"/>
      <c r="I132" s="567"/>
      <c r="J132" s="567"/>
      <c r="K132" s="567"/>
      <c r="L132" s="567"/>
      <c r="M132" s="567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7"/>
      <c r="E133" s="567"/>
      <c r="F133" s="567"/>
      <c r="G133" s="567"/>
      <c r="H133" s="567"/>
      <c r="I133" s="567"/>
      <c r="J133" s="567"/>
      <c r="K133" s="567"/>
      <c r="L133" s="567"/>
      <c r="M133" s="567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7"/>
      <c r="E134" s="567"/>
      <c r="F134" s="567"/>
      <c r="G134" s="567"/>
      <c r="H134" s="567"/>
      <c r="I134" s="567"/>
      <c r="J134" s="567"/>
      <c r="K134" s="567"/>
      <c r="L134" s="567"/>
      <c r="M134" s="567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7"/>
      <c r="E135" s="567"/>
      <c r="F135" s="567"/>
      <c r="G135" s="567"/>
      <c r="H135" s="567"/>
      <c r="I135" s="567"/>
      <c r="J135" s="567"/>
      <c r="K135" s="567"/>
      <c r="L135" s="567"/>
      <c r="M135" s="567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7"/>
      <c r="E136" s="567"/>
      <c r="F136" s="567"/>
      <c r="G136" s="567"/>
      <c r="H136" s="567"/>
      <c r="I136" s="567"/>
      <c r="J136" s="567"/>
      <c r="K136" s="567"/>
      <c r="L136" s="567"/>
      <c r="M136" s="567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7"/>
      <c r="E137" s="567"/>
      <c r="F137" s="567"/>
      <c r="G137" s="567"/>
      <c r="H137" s="567"/>
      <c r="I137" s="567"/>
      <c r="J137" s="567"/>
      <c r="K137" s="567"/>
      <c r="L137" s="567"/>
      <c r="M137" s="567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2" sqref="M14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0" customFormat="1" ht="16.5" customHeight="1">
      <c r="A1" s="15"/>
      <c r="B1" s="660" t="s">
        <v>373</v>
      </c>
      <c r="C1" s="661"/>
      <c r="D1" s="661"/>
      <c r="E1" s="661"/>
      <c r="F1" s="662"/>
      <c r="G1" s="448" t="s">
        <v>253</v>
      </c>
      <c r="H1" s="441"/>
      <c r="I1" s="652">
        <v>695025</v>
      </c>
      <c r="J1" s="653"/>
      <c r="K1" s="442"/>
      <c r="L1" s="450" t="s">
        <v>254</v>
      </c>
      <c r="M1" s="446">
        <v>300</v>
      </c>
      <c r="N1" s="442"/>
      <c r="O1" s="450" t="s">
        <v>246</v>
      </c>
      <c r="P1" s="469"/>
      <c r="Q1" s="443"/>
      <c r="R1" s="360" t="s">
        <v>287</v>
      </c>
      <c r="S1" s="584"/>
      <c r="T1" s="585"/>
      <c r="U1" s="44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0" customFormat="1" ht="14.25" customHeight="1">
      <c r="A2" s="15"/>
      <c r="B2" s="647" t="s">
        <v>247</v>
      </c>
      <c r="C2" s="648"/>
      <c r="D2" s="648"/>
      <c r="E2" s="648"/>
      <c r="F2" s="649"/>
      <c r="G2" s="441"/>
      <c r="H2" s="441"/>
      <c r="I2" s="439"/>
      <c r="J2" s="442"/>
      <c r="K2" s="439"/>
      <c r="L2" s="439"/>
      <c r="M2" s="442"/>
      <c r="N2" s="444"/>
      <c r="O2" s="443"/>
      <c r="P2" s="443"/>
      <c r="Q2" s="443"/>
      <c r="R2" s="443"/>
      <c r="S2" s="443"/>
      <c r="T2" s="443"/>
      <c r="U2" s="44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0" customFormat="1" ht="19.5" customHeight="1">
      <c r="A3" s="15"/>
      <c r="B3" s="667" t="s">
        <v>259</v>
      </c>
      <c r="C3" s="668"/>
      <c r="D3" s="668"/>
      <c r="E3" s="668"/>
      <c r="F3" s="669"/>
      <c r="G3" s="449" t="s">
        <v>245</v>
      </c>
      <c r="H3" s="657" t="s">
        <v>374</v>
      </c>
      <c r="I3" s="658"/>
      <c r="J3" s="658"/>
      <c r="K3" s="659"/>
      <c r="L3" s="28" t="s">
        <v>255</v>
      </c>
      <c r="M3" s="654"/>
      <c r="N3" s="655"/>
      <c r="O3" s="655"/>
      <c r="P3" s="656"/>
      <c r="Q3" s="443"/>
      <c r="R3" s="443"/>
      <c r="S3" s="443"/>
      <c r="T3" s="443"/>
      <c r="U3" s="44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1" t="s">
        <v>252</v>
      </c>
      <c r="E5" s="651"/>
      <c r="F5" s="651"/>
      <c r="G5" s="651"/>
      <c r="H5" s="651"/>
      <c r="I5" s="651"/>
      <c r="J5" s="651"/>
      <c r="K5" s="651"/>
      <c r="L5" s="651"/>
      <c r="M5" s="20"/>
      <c r="N5" s="20"/>
      <c r="O5" s="24" t="s">
        <v>18</v>
      </c>
      <c r="P5" s="467">
        <v>2018</v>
      </c>
      <c r="Q5" s="20"/>
      <c r="R5" s="637" t="s">
        <v>186</v>
      </c>
      <c r="S5" s="637"/>
      <c r="T5" s="637"/>
      <c r="U5" s="15"/>
    </row>
    <row r="6" spans="1:28" s="3" customFormat="1" ht="17.25" customHeight="1">
      <c r="A6" s="15"/>
      <c r="B6" s="27" t="s">
        <v>250</v>
      </c>
      <c r="C6" s="27"/>
      <c r="D6" s="651" t="s">
        <v>251</v>
      </c>
      <c r="E6" s="651"/>
      <c r="F6" s="651"/>
      <c r="G6" s="651"/>
      <c r="H6" s="651"/>
      <c r="I6" s="651"/>
      <c r="J6" s="651"/>
      <c r="K6" s="651"/>
      <c r="L6" s="651"/>
      <c r="M6" s="21"/>
      <c r="N6" s="16"/>
      <c r="O6" s="15"/>
      <c r="P6" s="15"/>
      <c r="Q6" s="13"/>
      <c r="R6" s="650">
        <f>+P4</f>
        <v>0</v>
      </c>
      <c r="S6" s="650"/>
      <c r="T6" s="650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6" t="str">
        <f>+B1</f>
        <v>МИНИСТЕРСКИ СЪВЕТ</v>
      </c>
      <c r="E8" s="666"/>
      <c r="F8" s="666"/>
      <c r="G8" s="666"/>
      <c r="H8" s="666"/>
      <c r="I8" s="666"/>
      <c r="J8" s="666"/>
      <c r="K8" s="666"/>
      <c r="L8" s="666"/>
      <c r="M8" s="447" t="s">
        <v>256</v>
      </c>
      <c r="N8" s="16"/>
      <c r="O8" s="465" t="s">
        <v>301</v>
      </c>
      <c r="P8" s="306" t="s">
        <v>51</v>
      </c>
      <c r="Q8" s="13"/>
      <c r="R8" s="638">
        <f>+P5</f>
        <v>2018</v>
      </c>
      <c r="S8" s="639"/>
      <c r="T8" s="640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1" t="s">
        <v>46</v>
      </c>
      <c r="M10" s="366" t="s">
        <v>46</v>
      </c>
      <c r="N10" s="16"/>
      <c r="O10" s="452" t="s">
        <v>257</v>
      </c>
      <c r="P10" s="369" t="s">
        <v>47</v>
      </c>
      <c r="Q10" s="367"/>
      <c r="R10" s="641" t="s">
        <v>0</v>
      </c>
      <c r="S10" s="642"/>
      <c r="T10" s="643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31.12.2018 г.</v>
      </c>
      <c r="G11" s="413">
        <f>+P5-1</f>
        <v>2017</v>
      </c>
      <c r="H11" s="15"/>
      <c r="I11" s="118" t="str">
        <f>+O8</f>
        <v>31.12.2018 г.</v>
      </c>
      <c r="J11" s="414">
        <f>+P5-1</f>
        <v>2017</v>
      </c>
      <c r="K11" s="16"/>
      <c r="L11" s="116" t="str">
        <f>+O8</f>
        <v>31.12.2018 г.</v>
      </c>
      <c r="M11" s="415">
        <f>+P5-1</f>
        <v>2017</v>
      </c>
      <c r="N11" s="16"/>
      <c r="O11" s="370" t="str">
        <f>+O8</f>
        <v>31.12.2018 г.</v>
      </c>
      <c r="P11" s="416">
        <f>+P5-1</f>
        <v>2017</v>
      </c>
      <c r="Q11" s="368"/>
      <c r="R11" s="644" t="s">
        <v>187</v>
      </c>
      <c r="S11" s="645"/>
      <c r="T11" s="646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5" t="s">
        <v>134</v>
      </c>
      <c r="C12" s="476"/>
      <c r="D12" s="477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595" t="s">
        <v>155</v>
      </c>
      <c r="S15" s="596"/>
      <c r="T15" s="597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>
        <v>503825</v>
      </c>
      <c r="G16" s="249">
        <v>501135</v>
      </c>
      <c r="H16" s="15"/>
      <c r="I16" s="250"/>
      <c r="J16" s="249"/>
      <c r="K16" s="243"/>
      <c r="L16" s="250"/>
      <c r="M16" s="249"/>
      <c r="N16" s="243"/>
      <c r="O16" s="378">
        <f t="shared" si="0"/>
        <v>503825</v>
      </c>
      <c r="P16" s="401">
        <f t="shared" si="0"/>
        <v>501135</v>
      </c>
      <c r="Q16" s="31"/>
      <c r="R16" s="631" t="s">
        <v>309</v>
      </c>
      <c r="S16" s="632"/>
      <c r="T16" s="633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0"/>
      <c r="D17" s="521"/>
      <c r="E17" s="15"/>
      <c r="F17" s="531"/>
      <c r="G17" s="532"/>
      <c r="H17" s="15"/>
      <c r="I17" s="531"/>
      <c r="J17" s="532"/>
      <c r="K17" s="243"/>
      <c r="L17" s="531"/>
      <c r="M17" s="532"/>
      <c r="N17" s="243"/>
      <c r="O17" s="527">
        <f>+ROUND(+F17+I17+L17,0)</f>
        <v>0</v>
      </c>
      <c r="P17" s="528">
        <f>+ROUND(+G17+J17+M17,0)</f>
        <v>0</v>
      </c>
      <c r="Q17" s="31"/>
      <c r="R17" s="634" t="s">
        <v>302</v>
      </c>
      <c r="S17" s="635"/>
      <c r="T17" s="636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109026</v>
      </c>
      <c r="G18" s="245">
        <v>140885</v>
      </c>
      <c r="H18" s="15"/>
      <c r="I18" s="246"/>
      <c r="J18" s="245"/>
      <c r="K18" s="243"/>
      <c r="L18" s="246"/>
      <c r="M18" s="245"/>
      <c r="N18" s="243"/>
      <c r="O18" s="382">
        <f t="shared" si="0"/>
        <v>109026</v>
      </c>
      <c r="P18" s="395">
        <f t="shared" si="0"/>
        <v>140885</v>
      </c>
      <c r="Q18" s="31"/>
      <c r="R18" s="595" t="s">
        <v>156</v>
      </c>
      <c r="S18" s="596"/>
      <c r="T18" s="597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6366466</v>
      </c>
      <c r="G19" s="247">
        <v>5868347</v>
      </c>
      <c r="H19" s="15"/>
      <c r="I19" s="248"/>
      <c r="J19" s="247"/>
      <c r="K19" s="243"/>
      <c r="L19" s="248"/>
      <c r="M19" s="247"/>
      <c r="N19" s="243"/>
      <c r="O19" s="377">
        <f t="shared" si="0"/>
        <v>6366466</v>
      </c>
      <c r="P19" s="427">
        <f t="shared" si="0"/>
        <v>5868347</v>
      </c>
      <c r="Q19" s="31"/>
      <c r="R19" s="581" t="s">
        <v>157</v>
      </c>
      <c r="S19" s="582"/>
      <c r="T19" s="583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3148725</v>
      </c>
      <c r="G20" s="247">
        <v>3382496</v>
      </c>
      <c r="H20" s="15"/>
      <c r="I20" s="248"/>
      <c r="J20" s="247"/>
      <c r="K20" s="243"/>
      <c r="L20" s="248"/>
      <c r="M20" s="247"/>
      <c r="N20" s="243"/>
      <c r="O20" s="377">
        <f t="shared" si="0"/>
        <v>3148725</v>
      </c>
      <c r="P20" s="427">
        <f t="shared" si="0"/>
        <v>3382496</v>
      </c>
      <c r="Q20" s="31"/>
      <c r="R20" s="581" t="s">
        <v>158</v>
      </c>
      <c r="S20" s="582"/>
      <c r="T20" s="583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1006568</v>
      </c>
      <c r="G21" s="247">
        <v>825835</v>
      </c>
      <c r="H21" s="15"/>
      <c r="I21" s="248"/>
      <c r="J21" s="247"/>
      <c r="K21" s="243"/>
      <c r="L21" s="248"/>
      <c r="M21" s="247"/>
      <c r="N21" s="243"/>
      <c r="O21" s="377">
        <f t="shared" si="0"/>
        <v>1006568</v>
      </c>
      <c r="P21" s="427">
        <f t="shared" si="0"/>
        <v>825835</v>
      </c>
      <c r="Q21" s="31"/>
      <c r="R21" s="581" t="s">
        <v>159</v>
      </c>
      <c r="S21" s="582"/>
      <c r="T21" s="583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-396</v>
      </c>
      <c r="G22" s="247">
        <v>507</v>
      </c>
      <c r="H22" s="15"/>
      <c r="I22" s="248"/>
      <c r="J22" s="247"/>
      <c r="K22" s="243"/>
      <c r="L22" s="248">
        <v>1</v>
      </c>
      <c r="M22" s="247">
        <v>0</v>
      </c>
      <c r="N22" s="243"/>
      <c r="O22" s="377">
        <f t="shared" si="0"/>
        <v>-395</v>
      </c>
      <c r="P22" s="427">
        <f t="shared" si="0"/>
        <v>507</v>
      </c>
      <c r="Q22" s="31"/>
      <c r="R22" s="581" t="s">
        <v>160</v>
      </c>
      <c r="S22" s="582"/>
      <c r="T22" s="583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7">
        <f t="shared" si="0"/>
        <v>0</v>
      </c>
      <c r="Q23" s="31"/>
      <c r="R23" s="581" t="s">
        <v>161</v>
      </c>
      <c r="S23" s="582"/>
      <c r="T23" s="583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824093</v>
      </c>
      <c r="G24" s="249">
        <v>324308</v>
      </c>
      <c r="H24" s="15"/>
      <c r="I24" s="250"/>
      <c r="J24" s="249">
        <v>-157</v>
      </c>
      <c r="K24" s="243"/>
      <c r="L24" s="250"/>
      <c r="M24" s="249"/>
      <c r="N24" s="243"/>
      <c r="O24" s="378">
        <f t="shared" si="0"/>
        <v>824093</v>
      </c>
      <c r="P24" s="401">
        <f t="shared" si="0"/>
        <v>324151</v>
      </c>
      <c r="Q24" s="31"/>
      <c r="R24" s="616" t="s">
        <v>303</v>
      </c>
      <c r="S24" s="617"/>
      <c r="T24" s="618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11958307</v>
      </c>
      <c r="G25" s="251">
        <f>+ROUND(+SUM(G15,G16,G18,G19,G20,G21,G22,G23,G24),0)</f>
        <v>11043513</v>
      </c>
      <c r="H25" s="15"/>
      <c r="I25" s="252">
        <f>+ROUND(+SUM(I15,I16,I18,I19,I20,I21,I22,I23,I24),0)</f>
        <v>0</v>
      </c>
      <c r="J25" s="251">
        <f>+ROUND(+SUM(J15,J16,J18,J19,J20,J21,J22,J23,J24),0)</f>
        <v>-157</v>
      </c>
      <c r="K25" s="243"/>
      <c r="L25" s="252">
        <f>+ROUND(+SUM(L15,L16,L18,L19,L20,L21,L22,L23,L24),0)</f>
        <v>1</v>
      </c>
      <c r="M25" s="251">
        <f>+ROUND(+SUM(M15,M16,M18,M19,M20,M21,M22,M23,M24),0)</f>
        <v>0</v>
      </c>
      <c r="N25" s="243"/>
      <c r="O25" s="379">
        <f>+ROUND(+SUM(O15,O16,O18,O19,O20,O21,O22,O23,O24),0)</f>
        <v>11958308</v>
      </c>
      <c r="P25" s="380">
        <f>+ROUND(+SUM(P15,P16,P18,P19,P20,P21,P22,P23,P24),0)</f>
        <v>11043356</v>
      </c>
      <c r="Q25" s="31"/>
      <c r="R25" s="589" t="s">
        <v>188</v>
      </c>
      <c r="S25" s="590"/>
      <c r="T25" s="591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>
        <v>4434908</v>
      </c>
      <c r="G27" s="245">
        <v>5536065</v>
      </c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4434908</v>
      </c>
      <c r="P27" s="395">
        <f t="shared" si="1"/>
        <v>5536065</v>
      </c>
      <c r="Q27" s="31"/>
      <c r="R27" s="595" t="s">
        <v>162</v>
      </c>
      <c r="S27" s="596"/>
      <c r="T27" s="597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1967716</v>
      </c>
      <c r="G28" s="247">
        <v>1116547</v>
      </c>
      <c r="H28" s="15"/>
      <c r="I28" s="248"/>
      <c r="J28" s="247"/>
      <c r="K28" s="243"/>
      <c r="L28" s="248"/>
      <c r="M28" s="247"/>
      <c r="N28" s="243"/>
      <c r="O28" s="377">
        <f t="shared" si="1"/>
        <v>1967716</v>
      </c>
      <c r="P28" s="427">
        <f t="shared" si="1"/>
        <v>1116547</v>
      </c>
      <c r="Q28" s="31"/>
      <c r="R28" s="581" t="s">
        <v>163</v>
      </c>
      <c r="S28" s="582"/>
      <c r="T28" s="583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0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6" t="s">
        <v>164</v>
      </c>
      <c r="S29" s="617"/>
      <c r="T29" s="618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6402624</v>
      </c>
      <c r="G30" s="251">
        <f>+ROUND(+SUM(G27:G29),0)</f>
        <v>6652612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6402624</v>
      </c>
      <c r="P30" s="380">
        <f>+ROUND(+SUM(P27:P29),0)</f>
        <v>6652612</v>
      </c>
      <c r="Q30" s="31"/>
      <c r="R30" s="589" t="s">
        <v>189</v>
      </c>
      <c r="S30" s="590"/>
      <c r="T30" s="591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3" t="s">
        <v>265</v>
      </c>
      <c r="C37" s="161"/>
      <c r="D37" s="162"/>
      <c r="E37" s="15"/>
      <c r="F37" s="264">
        <v>-4094734</v>
      </c>
      <c r="G37" s="263">
        <v>-3721030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-4094734</v>
      </c>
      <c r="P37" s="380">
        <f t="shared" si="2"/>
        <v>-3721030</v>
      </c>
      <c r="Q37" s="31"/>
      <c r="R37" s="589" t="s">
        <v>190</v>
      </c>
      <c r="S37" s="590"/>
      <c r="T37" s="591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-3444720</v>
      </c>
      <c r="G38" s="265">
        <v>-3227325</v>
      </c>
      <c r="H38" s="15"/>
      <c r="I38" s="266"/>
      <c r="J38" s="265"/>
      <c r="K38" s="243"/>
      <c r="L38" s="266"/>
      <c r="M38" s="265"/>
      <c r="N38" s="243"/>
      <c r="O38" s="392">
        <f t="shared" si="2"/>
        <v>-3444720</v>
      </c>
      <c r="P38" s="428">
        <f t="shared" si="2"/>
        <v>-3227325</v>
      </c>
      <c r="Q38" s="31"/>
      <c r="R38" s="622" t="s">
        <v>165</v>
      </c>
      <c r="S38" s="623"/>
      <c r="T38" s="624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-627996</v>
      </c>
      <c r="G39" s="267">
        <v>-472655</v>
      </c>
      <c r="H39" s="15"/>
      <c r="I39" s="268"/>
      <c r="J39" s="267"/>
      <c r="K39" s="243"/>
      <c r="L39" s="268"/>
      <c r="M39" s="267"/>
      <c r="N39" s="243"/>
      <c r="O39" s="393">
        <f t="shared" si="2"/>
        <v>-627996</v>
      </c>
      <c r="P39" s="429">
        <f t="shared" si="2"/>
        <v>-472655</v>
      </c>
      <c r="Q39" s="31"/>
      <c r="R39" s="625" t="s">
        <v>166</v>
      </c>
      <c r="S39" s="626"/>
      <c r="T39" s="627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>
        <v>-21978</v>
      </c>
      <c r="G40" s="269">
        <v>-20955</v>
      </c>
      <c r="H40" s="15"/>
      <c r="I40" s="270"/>
      <c r="J40" s="269"/>
      <c r="K40" s="243"/>
      <c r="L40" s="270"/>
      <c r="M40" s="269"/>
      <c r="N40" s="243"/>
      <c r="O40" s="394">
        <f t="shared" si="2"/>
        <v>-21978</v>
      </c>
      <c r="P40" s="430">
        <f t="shared" si="2"/>
        <v>-20955</v>
      </c>
      <c r="Q40" s="31"/>
      <c r="R40" s="628" t="s">
        <v>167</v>
      </c>
      <c r="S40" s="629"/>
      <c r="T40" s="630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34816</v>
      </c>
      <c r="G42" s="263">
        <v>29970</v>
      </c>
      <c r="H42" s="15"/>
      <c r="I42" s="264"/>
      <c r="J42" s="263"/>
      <c r="K42" s="243"/>
      <c r="L42" s="264"/>
      <c r="M42" s="263"/>
      <c r="N42" s="243"/>
      <c r="O42" s="379">
        <f>+ROUND(+F42+I42+L42,0)</f>
        <v>34816</v>
      </c>
      <c r="P42" s="380">
        <f>+ROUND(+G42+J42+M42,0)</f>
        <v>29970</v>
      </c>
      <c r="Q42" s="31"/>
      <c r="R42" s="589" t="s">
        <v>191</v>
      </c>
      <c r="S42" s="590"/>
      <c r="T42" s="591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>
        <v>11286</v>
      </c>
      <c r="G44" s="245"/>
      <c r="H44" s="15"/>
      <c r="I44" s="246">
        <v>727539</v>
      </c>
      <c r="J44" s="245">
        <v>3302185</v>
      </c>
      <c r="K44" s="243"/>
      <c r="L44" s="246"/>
      <c r="M44" s="245"/>
      <c r="N44" s="243"/>
      <c r="O44" s="382">
        <f aca="true" t="shared" si="3" ref="O44:P47">+ROUND(+F44+I44+L44,0)</f>
        <v>738825</v>
      </c>
      <c r="P44" s="395">
        <f t="shared" si="3"/>
        <v>3302185</v>
      </c>
      <c r="Q44" s="31"/>
      <c r="R44" s="595" t="s">
        <v>168</v>
      </c>
      <c r="S44" s="596"/>
      <c r="T44" s="597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>
        <f>139515+521007</f>
        <v>660522</v>
      </c>
      <c r="J45" s="247">
        <v>425640</v>
      </c>
      <c r="K45" s="243"/>
      <c r="L45" s="248"/>
      <c r="M45" s="247"/>
      <c r="N45" s="243"/>
      <c r="O45" s="377">
        <f t="shared" si="3"/>
        <v>660522</v>
      </c>
      <c r="P45" s="427">
        <f t="shared" si="3"/>
        <v>425640</v>
      </c>
      <c r="Q45" s="31"/>
      <c r="R45" s="581" t="s">
        <v>169</v>
      </c>
      <c r="S45" s="582"/>
      <c r="T45" s="583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1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7">
        <f t="shared" si="3"/>
        <v>0</v>
      </c>
      <c r="Q46" s="31"/>
      <c r="R46" s="581" t="s">
        <v>170</v>
      </c>
      <c r="S46" s="582"/>
      <c r="T46" s="583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>
        <v>26311</v>
      </c>
      <c r="G47" s="249">
        <v>29845</v>
      </c>
      <c r="H47" s="15"/>
      <c r="I47" s="250"/>
      <c r="J47" s="249"/>
      <c r="K47" s="243"/>
      <c r="L47" s="250"/>
      <c r="M47" s="249"/>
      <c r="N47" s="243"/>
      <c r="O47" s="378">
        <f t="shared" si="3"/>
        <v>26311</v>
      </c>
      <c r="P47" s="401">
        <f t="shared" si="3"/>
        <v>29845</v>
      </c>
      <c r="Q47" s="31"/>
      <c r="R47" s="616" t="s">
        <v>171</v>
      </c>
      <c r="S47" s="617"/>
      <c r="T47" s="618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37597</v>
      </c>
      <c r="G48" s="251">
        <f>+ROUND(+SUM(G44:G47),0)</f>
        <v>29845</v>
      </c>
      <c r="H48" s="15"/>
      <c r="I48" s="252">
        <f>+ROUND(+SUM(I44:I47),0)</f>
        <v>1388061</v>
      </c>
      <c r="J48" s="251">
        <f>+ROUND(+SUM(J44:J47),0)</f>
        <v>3727825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1425658</v>
      </c>
      <c r="P48" s="380">
        <f>+ROUND(+SUM(P44:P47),0)</f>
        <v>3757670</v>
      </c>
      <c r="Q48" s="31"/>
      <c r="R48" s="589" t="s">
        <v>192</v>
      </c>
      <c r="S48" s="590"/>
      <c r="T48" s="591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14338610</v>
      </c>
      <c r="G50" s="273">
        <f>+ROUND(G25+G30+G37+G42+G48,0)</f>
        <v>14034910</v>
      </c>
      <c r="H50" s="15"/>
      <c r="I50" s="274">
        <f>+ROUND(I25+I30+I37+I42+I48,0)</f>
        <v>1388061</v>
      </c>
      <c r="J50" s="273">
        <f>+ROUND(J25+J30+J37+J42+J48,0)</f>
        <v>3727668</v>
      </c>
      <c r="K50" s="243"/>
      <c r="L50" s="274">
        <f>+ROUND(L25+L30+L37+L42+L48,0)</f>
        <v>1</v>
      </c>
      <c r="M50" s="273">
        <f>+ROUND(M25+M30+M37+M42+M48,0)</f>
        <v>0</v>
      </c>
      <c r="N50" s="243"/>
      <c r="O50" s="396">
        <f>+ROUND(O25+O30+O37+O42+O48,0)</f>
        <v>15726672</v>
      </c>
      <c r="P50" s="397">
        <f>+ROUND(P25+P30+P37+P42+P48,0)</f>
        <v>17762578</v>
      </c>
      <c r="Q50" s="122"/>
      <c r="R50" s="619" t="s">
        <v>193</v>
      </c>
      <c r="S50" s="620"/>
      <c r="T50" s="621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36814526</v>
      </c>
      <c r="G53" s="275">
        <v>65593522</v>
      </c>
      <c r="H53" s="15"/>
      <c r="I53" s="276">
        <f>5459147+641444+7404766</f>
        <v>13505357</v>
      </c>
      <c r="J53" s="275">
        <v>11360753</v>
      </c>
      <c r="K53" s="243"/>
      <c r="L53" s="276"/>
      <c r="M53" s="275"/>
      <c r="N53" s="243"/>
      <c r="O53" s="383">
        <f aca="true" t="shared" si="4" ref="O53:P57">+ROUND(+F53+I53+L53,0)</f>
        <v>50319883</v>
      </c>
      <c r="P53" s="376">
        <f t="shared" si="4"/>
        <v>76954275</v>
      </c>
      <c r="Q53" s="31"/>
      <c r="R53" s="595" t="s">
        <v>194</v>
      </c>
      <c r="S53" s="596"/>
      <c r="T53" s="597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309261</v>
      </c>
      <c r="G54" s="249">
        <v>329743</v>
      </c>
      <c r="H54" s="15"/>
      <c r="I54" s="250">
        <f>267+2023+1900</f>
        <v>4190</v>
      </c>
      <c r="J54" s="249">
        <v>75</v>
      </c>
      <c r="K54" s="243"/>
      <c r="L54" s="250">
        <v>4</v>
      </c>
      <c r="M54" s="249"/>
      <c r="N54" s="243"/>
      <c r="O54" s="378">
        <f t="shared" si="4"/>
        <v>313455</v>
      </c>
      <c r="P54" s="401">
        <f t="shared" si="4"/>
        <v>329818</v>
      </c>
      <c r="Q54" s="31"/>
      <c r="R54" s="581" t="s">
        <v>172</v>
      </c>
      <c r="S54" s="582"/>
      <c r="T54" s="583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3521568</v>
      </c>
      <c r="G55" s="249">
        <v>4487936</v>
      </c>
      <c r="H55" s="15"/>
      <c r="I55" s="250">
        <f>3780+1583</f>
        <v>5363</v>
      </c>
      <c r="J55" s="249">
        <v>1632</v>
      </c>
      <c r="K55" s="243"/>
      <c r="L55" s="250"/>
      <c r="M55" s="249"/>
      <c r="N55" s="243"/>
      <c r="O55" s="378">
        <f t="shared" si="4"/>
        <v>3526931</v>
      </c>
      <c r="P55" s="401">
        <f t="shared" si="4"/>
        <v>4489568</v>
      </c>
      <c r="Q55" s="31"/>
      <c r="R55" s="581" t="s">
        <v>173</v>
      </c>
      <c r="S55" s="582"/>
      <c r="T55" s="583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49016162</v>
      </c>
      <c r="G56" s="249">
        <v>51293079</v>
      </c>
      <c r="H56" s="15"/>
      <c r="I56" s="250">
        <f>1072677+92148+3844321</f>
        <v>5009146</v>
      </c>
      <c r="J56" s="249">
        <v>4451990</v>
      </c>
      <c r="K56" s="243"/>
      <c r="L56" s="250"/>
      <c r="M56" s="249"/>
      <c r="N56" s="243"/>
      <c r="O56" s="378">
        <f t="shared" si="4"/>
        <v>54025308</v>
      </c>
      <c r="P56" s="401">
        <f t="shared" si="4"/>
        <v>55745069</v>
      </c>
      <c r="Q56" s="31"/>
      <c r="R56" s="581" t="s">
        <v>174</v>
      </c>
      <c r="S56" s="582"/>
      <c r="T56" s="583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10852165</v>
      </c>
      <c r="G57" s="249">
        <v>10980330</v>
      </c>
      <c r="H57" s="15"/>
      <c r="I57" s="250">
        <f>200676+8292+922559</f>
        <v>1131527</v>
      </c>
      <c r="J57" s="249">
        <v>1046329</v>
      </c>
      <c r="K57" s="243"/>
      <c r="L57" s="250"/>
      <c r="M57" s="249"/>
      <c r="N57" s="243"/>
      <c r="O57" s="378">
        <f t="shared" si="4"/>
        <v>11983692</v>
      </c>
      <c r="P57" s="401">
        <f t="shared" si="4"/>
        <v>12026659</v>
      </c>
      <c r="Q57" s="31"/>
      <c r="R57" s="616" t="s">
        <v>175</v>
      </c>
      <c r="S57" s="617"/>
      <c r="T57" s="618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100513682</v>
      </c>
      <c r="G58" s="277">
        <f>+ROUND(+SUM(G53:G57),0)</f>
        <v>132684610</v>
      </c>
      <c r="H58" s="15"/>
      <c r="I58" s="278">
        <f>+ROUND(+SUM(I53:I57),0)</f>
        <v>19655583</v>
      </c>
      <c r="J58" s="277">
        <f>+ROUND(+SUM(J53:J57),0)</f>
        <v>16860779</v>
      </c>
      <c r="K58" s="243"/>
      <c r="L58" s="278">
        <f>+ROUND(+SUM(L53:L57),0)</f>
        <v>4</v>
      </c>
      <c r="M58" s="277">
        <f>+ROUND(+SUM(M53:M57),0)</f>
        <v>0</v>
      </c>
      <c r="N58" s="243"/>
      <c r="O58" s="398">
        <f>+ROUND(+SUM(O53:O57),0)</f>
        <v>120169269</v>
      </c>
      <c r="P58" s="399">
        <f>+ROUND(+SUM(P53:P57),0)</f>
        <v>149545389</v>
      </c>
      <c r="Q58" s="31"/>
      <c r="R58" s="589" t="s">
        <v>195</v>
      </c>
      <c r="S58" s="590"/>
      <c r="T58" s="591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595" t="s">
        <v>176</v>
      </c>
      <c r="S60" s="596"/>
      <c r="T60" s="597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18379590</v>
      </c>
      <c r="G61" s="249">
        <v>14669662</v>
      </c>
      <c r="H61" s="15"/>
      <c r="I61" s="250">
        <f>5151375+104228+2239525</f>
        <v>7495128</v>
      </c>
      <c r="J61" s="249">
        <v>4420573</v>
      </c>
      <c r="K61" s="243"/>
      <c r="L61" s="250"/>
      <c r="M61" s="249"/>
      <c r="N61" s="243"/>
      <c r="O61" s="378">
        <f t="shared" si="5"/>
        <v>25874718</v>
      </c>
      <c r="P61" s="401">
        <f t="shared" si="5"/>
        <v>19090235</v>
      </c>
      <c r="Q61" s="31"/>
      <c r="R61" s="581" t="s">
        <v>177</v>
      </c>
      <c r="S61" s="582"/>
      <c r="T61" s="583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>
        <v>393842</v>
      </c>
      <c r="G62" s="249">
        <v>796548</v>
      </c>
      <c r="H62" s="15"/>
      <c r="I62" s="250">
        <f>29136+2538793</f>
        <v>2567929</v>
      </c>
      <c r="J62" s="249">
        <v>61177</v>
      </c>
      <c r="K62" s="243"/>
      <c r="L62" s="250"/>
      <c r="M62" s="249"/>
      <c r="N62" s="243"/>
      <c r="O62" s="378">
        <f t="shared" si="5"/>
        <v>2961771</v>
      </c>
      <c r="P62" s="401">
        <f t="shared" si="5"/>
        <v>857725</v>
      </c>
      <c r="Q62" s="31"/>
      <c r="R62" s="581" t="s">
        <v>178</v>
      </c>
      <c r="S62" s="582"/>
      <c r="T62" s="583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1">
        <f t="shared" si="5"/>
        <v>0</v>
      </c>
      <c r="Q63" s="31"/>
      <c r="R63" s="616" t="s">
        <v>196</v>
      </c>
      <c r="S63" s="617"/>
      <c r="T63" s="618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4">
        <f t="shared" si="5"/>
        <v>0</v>
      </c>
      <c r="P64" s="433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18773432</v>
      </c>
      <c r="G65" s="277">
        <f>+ROUND(+SUM(G60:G63),0)</f>
        <v>15466210</v>
      </c>
      <c r="H65" s="15"/>
      <c r="I65" s="278">
        <f>+ROUND(+SUM(I60:I63),0)</f>
        <v>10063057</v>
      </c>
      <c r="J65" s="277">
        <f>+ROUND(+SUM(J60:J63),0)</f>
        <v>4481750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28836489</v>
      </c>
      <c r="P65" s="399">
        <f>+ROUND(+SUM(P60:P63),0)</f>
        <v>19947960</v>
      </c>
      <c r="Q65" s="31"/>
      <c r="R65" s="589" t="s">
        <v>198</v>
      </c>
      <c r="S65" s="590"/>
      <c r="T65" s="591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595" t="s">
        <v>179</v>
      </c>
      <c r="S67" s="596"/>
      <c r="T67" s="597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581" t="s">
        <v>180</v>
      </c>
      <c r="S68" s="582"/>
      <c r="T68" s="583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589" t="s">
        <v>199</v>
      </c>
      <c r="S69" s="590"/>
      <c r="T69" s="591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65818</v>
      </c>
      <c r="G71" s="275">
        <v>69803</v>
      </c>
      <c r="H71" s="15"/>
      <c r="I71" s="276"/>
      <c r="J71" s="275"/>
      <c r="K71" s="243"/>
      <c r="L71" s="276"/>
      <c r="M71" s="275"/>
      <c r="N71" s="243"/>
      <c r="O71" s="383">
        <f>+ROUND(+F71+I71+L71,0)</f>
        <v>65818</v>
      </c>
      <c r="P71" s="376">
        <f>+ROUND(+G71+J71+M71,0)</f>
        <v>69803</v>
      </c>
      <c r="Q71" s="31"/>
      <c r="R71" s="595" t="s">
        <v>181</v>
      </c>
      <c r="S71" s="596"/>
      <c r="T71" s="597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1" t="s">
        <v>182</v>
      </c>
      <c r="S72" s="582"/>
      <c r="T72" s="583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65818</v>
      </c>
      <c r="G73" s="277">
        <f>+ROUND(+SUM(G71:G72),0)</f>
        <v>69803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65818</v>
      </c>
      <c r="P73" s="399">
        <f>+ROUND(+SUM(P71:P72),0)</f>
        <v>69803</v>
      </c>
      <c r="Q73" s="31"/>
      <c r="R73" s="589" t="s">
        <v>200</v>
      </c>
      <c r="S73" s="590"/>
      <c r="T73" s="591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9346038</v>
      </c>
      <c r="G75" s="275">
        <v>10235339</v>
      </c>
      <c r="H75" s="15"/>
      <c r="I75" s="276">
        <f>577018+94853</f>
        <v>671871</v>
      </c>
      <c r="J75" s="275">
        <v>626062</v>
      </c>
      <c r="K75" s="243"/>
      <c r="L75" s="276"/>
      <c r="M75" s="275"/>
      <c r="N75" s="243"/>
      <c r="O75" s="383">
        <f>+ROUND(+F75+I75+L75,0)</f>
        <v>10017909</v>
      </c>
      <c r="P75" s="376">
        <f>+ROUND(+G75+J75+M75,0)</f>
        <v>10861401</v>
      </c>
      <c r="Q75" s="31"/>
      <c r="R75" s="595" t="s">
        <v>183</v>
      </c>
      <c r="S75" s="596"/>
      <c r="T75" s="597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581" t="s">
        <v>201</v>
      </c>
      <c r="S76" s="582"/>
      <c r="T76" s="583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9346038</v>
      </c>
      <c r="G77" s="277">
        <f>+ROUND(+SUM(G75:G76),0)</f>
        <v>10235339</v>
      </c>
      <c r="H77" s="15"/>
      <c r="I77" s="278">
        <f>+ROUND(+SUM(I75:I76),0)</f>
        <v>671871</v>
      </c>
      <c r="J77" s="277">
        <f>+ROUND(+SUM(J75:J76),0)</f>
        <v>626062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10017909</v>
      </c>
      <c r="P77" s="399">
        <f>+ROUND(+SUM(P75:P76),0)</f>
        <v>10861401</v>
      </c>
      <c r="Q77" s="31"/>
      <c r="R77" s="589" t="s">
        <v>202</v>
      </c>
      <c r="S77" s="590"/>
      <c r="T77" s="591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2" t="s">
        <v>267</v>
      </c>
      <c r="C79" s="199"/>
      <c r="D79" s="200"/>
      <c r="E79" s="15"/>
      <c r="F79" s="285">
        <f>+ROUND(F58+F65+F69+F73+F77,0)</f>
        <v>128698970</v>
      </c>
      <c r="G79" s="288">
        <f>+ROUND(G58+G65+G69+G73+G77,0)</f>
        <v>158455962</v>
      </c>
      <c r="H79" s="15"/>
      <c r="I79" s="285">
        <f>+ROUND(I58+I65+I69+I73+I77,0)</f>
        <v>30390511</v>
      </c>
      <c r="J79" s="288">
        <f>+ROUND(J58+J65+J69+J73+J77,0)</f>
        <v>21968591</v>
      </c>
      <c r="K79" s="243"/>
      <c r="L79" s="285">
        <f>+ROUND(L58+L65+L69+L73+L77,0)</f>
        <v>4</v>
      </c>
      <c r="M79" s="288">
        <f>+ROUND(M58+M65+M69+M73+M77,0)</f>
        <v>0</v>
      </c>
      <c r="N79" s="243"/>
      <c r="O79" s="402">
        <f>+ROUND(O58+O65+O69+O73+O77,0)</f>
        <v>159089485</v>
      </c>
      <c r="P79" s="409">
        <f>+ROUND(P58+P65+P69+P73+P77,0)</f>
        <v>180424553</v>
      </c>
      <c r="Q79" s="31"/>
      <c r="R79" s="592" t="s">
        <v>203</v>
      </c>
      <c r="S79" s="593"/>
      <c r="T79" s="594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120709297</v>
      </c>
      <c r="G81" s="245">
        <v>138387349</v>
      </c>
      <c r="H81" s="15"/>
      <c r="I81" s="246">
        <f>3529990+421004+16867035</f>
        <v>20818029</v>
      </c>
      <c r="J81" s="245">
        <v>25635152</v>
      </c>
      <c r="K81" s="243"/>
      <c r="L81" s="246"/>
      <c r="M81" s="245"/>
      <c r="N81" s="243"/>
      <c r="O81" s="382">
        <f>+ROUND(+F81+I81+L81,0)</f>
        <v>141527326</v>
      </c>
      <c r="P81" s="395">
        <f>+ROUND(+G81+J81+M81,0)</f>
        <v>164022501</v>
      </c>
      <c r="Q81" s="31"/>
      <c r="R81" s="595" t="s">
        <v>184</v>
      </c>
      <c r="S81" s="596"/>
      <c r="T81" s="597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1" t="s">
        <v>185</v>
      </c>
      <c r="S82" s="582"/>
      <c r="T82" s="583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120709297</v>
      </c>
      <c r="G83" s="286">
        <f>+ROUND(G81+G82,0)</f>
        <v>138387349</v>
      </c>
      <c r="H83" s="15"/>
      <c r="I83" s="287">
        <f>+ROUND(I81+I82,0)</f>
        <v>20818029</v>
      </c>
      <c r="J83" s="286">
        <f>+ROUND(J81+J82,0)</f>
        <v>25635152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141527326</v>
      </c>
      <c r="P83" s="404">
        <f>+ROUND(P81+P82,0)</f>
        <v>164022501</v>
      </c>
      <c r="Q83" s="31"/>
      <c r="R83" s="607" t="s">
        <v>204</v>
      </c>
      <c r="S83" s="608"/>
      <c r="T83" s="609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1"/>
      <c r="D84" s="672"/>
      <c r="E84" s="15"/>
      <c r="F84" s="485">
        <f>+ROUND(F85,0)+ROUND(F86,0)</f>
        <v>0</v>
      </c>
      <c r="G84" s="486">
        <f>+ROUND(G85,0)+ROUND(G86,0)</f>
        <v>0</v>
      </c>
      <c r="H84" s="145"/>
      <c r="I84" s="485">
        <f>+ROUND(I85,0)+ROUND(I86,0)</f>
        <v>0</v>
      </c>
      <c r="J84" s="486">
        <f>+ROUND(J85,0)+ROUND(J86,0)</f>
        <v>0</v>
      </c>
      <c r="K84" s="491"/>
      <c r="L84" s="485">
        <f>+ROUND(L85,0)+ROUND(L86,0)</f>
        <v>0</v>
      </c>
      <c r="M84" s="486">
        <f>+ROUND(M85,0)+ROUND(M86,0)</f>
        <v>0</v>
      </c>
      <c r="N84" s="491"/>
      <c r="O84" s="494">
        <f>+ROUND(O85,0)+ROUND(O86,0)</f>
        <v>0</v>
      </c>
      <c r="P84" s="495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6348937</v>
      </c>
      <c r="G85" s="307">
        <f>+ROUND(G50,0)-ROUND(G79,0)+ROUND(G83,0)</f>
        <v>-6033703</v>
      </c>
      <c r="H85" s="15"/>
      <c r="I85" s="308">
        <f>+ROUND(I50,0)-ROUND(I79,0)+ROUND(I83,0)</f>
        <v>-8184421</v>
      </c>
      <c r="J85" s="307">
        <f>+ROUND(J50,0)-ROUND(J79,0)+ROUND(J83,0)</f>
        <v>7394229</v>
      </c>
      <c r="K85" s="243"/>
      <c r="L85" s="308">
        <f>+ROUND(L50,0)-ROUND(L79,0)+ROUND(L83,0)</f>
        <v>-3</v>
      </c>
      <c r="M85" s="307">
        <f>+ROUND(M50,0)-ROUND(M79,0)+ROUND(M83,0)</f>
        <v>0</v>
      </c>
      <c r="N85" s="243"/>
      <c r="O85" s="405">
        <f>+ROUND(O50,0)-ROUND(O79,0)+ROUND(O83,0)</f>
        <v>-1835487</v>
      </c>
      <c r="P85" s="406">
        <f>+ROUND(P50,0)-ROUND(P79,0)+ROUND(P83,0)</f>
        <v>1360526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-6348937</v>
      </c>
      <c r="G86" s="309">
        <f>+ROUND(G103,0)+ROUND(G122,0)+ROUND(G129,0)-ROUND(G134,0)</f>
        <v>6033703</v>
      </c>
      <c r="H86" s="15"/>
      <c r="I86" s="310">
        <f>+ROUND(I103,0)+ROUND(I122,0)+ROUND(I129,0)-ROUND(I134,0)</f>
        <v>8184421</v>
      </c>
      <c r="J86" s="309">
        <f>+ROUND(J103,0)+ROUND(J122,0)+ROUND(J129,0)-ROUND(J134,0)</f>
        <v>-7394229</v>
      </c>
      <c r="K86" s="243"/>
      <c r="L86" s="310">
        <f>+ROUND(L103,0)+ROUND(L122,0)+ROUND(L129,0)-ROUND(L134,0)</f>
        <v>3</v>
      </c>
      <c r="M86" s="309">
        <f>+ROUND(M103,0)+ROUND(M122,0)+ROUND(M129,0)-ROUND(M134,0)</f>
        <v>0</v>
      </c>
      <c r="N86" s="243"/>
      <c r="O86" s="407">
        <f>+ROUND(O103,0)+ROUND(O122,0)+ROUND(O129,0)-ROUND(O134,0)</f>
        <v>1835487</v>
      </c>
      <c r="P86" s="408">
        <f>+ROUND(P103,0)+ROUND(P122,0)+ROUND(P129,0)-ROUND(P134,0)</f>
        <v>-1360526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7">
        <f>+ROUND(+G89+J89+M89,0)</f>
        <v>0</v>
      </c>
      <c r="Q89" s="31"/>
      <c r="R89" s="595" t="s">
        <v>205</v>
      </c>
      <c r="S89" s="596"/>
      <c r="T89" s="597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1" t="s">
        <v>206</v>
      </c>
      <c r="S90" s="582"/>
      <c r="T90" s="583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3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89" t="s">
        <v>207</v>
      </c>
      <c r="S91" s="590"/>
      <c r="T91" s="591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595" t="s">
        <v>208</v>
      </c>
      <c r="S93" s="596"/>
      <c r="T93" s="597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1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581" t="s">
        <v>209</v>
      </c>
      <c r="S94" s="582"/>
      <c r="T94" s="583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7">
        <f t="shared" si="6"/>
        <v>0</v>
      </c>
      <c r="Q95" s="31"/>
      <c r="R95" s="581" t="s">
        <v>210</v>
      </c>
      <c r="S95" s="582"/>
      <c r="T95" s="583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6" t="s">
        <v>211</v>
      </c>
      <c r="S96" s="617"/>
      <c r="T96" s="618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3" t="s">
        <v>271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589" t="s">
        <v>212</v>
      </c>
      <c r="S97" s="590"/>
      <c r="T97" s="591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595" t="s">
        <v>213</v>
      </c>
      <c r="S99" s="596"/>
      <c r="T99" s="597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5671</v>
      </c>
      <c r="G100" s="249">
        <v>-11819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5671</v>
      </c>
      <c r="P100" s="401">
        <f>+ROUND(+G100+J100+M100,0)</f>
        <v>-11819</v>
      </c>
      <c r="Q100" s="31"/>
      <c r="R100" s="581" t="s">
        <v>214</v>
      </c>
      <c r="S100" s="582"/>
      <c r="T100" s="583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5671</v>
      </c>
      <c r="G101" s="251">
        <f>+ROUND(+SUM(G99:G100),0)</f>
        <v>-11819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5671</v>
      </c>
      <c r="P101" s="380">
        <f>+ROUND(+SUM(P99:P100),0)</f>
        <v>-11819</v>
      </c>
      <c r="Q101" s="31"/>
      <c r="R101" s="589" t="s">
        <v>215</v>
      </c>
      <c r="S101" s="590"/>
      <c r="T101" s="591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5671</v>
      </c>
      <c r="G103" s="273">
        <f>+ROUND(G91+G97+G101,0)</f>
        <v>-11819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5671</v>
      </c>
      <c r="P103" s="397">
        <f>+ROUND(P91+P97+P101,0)</f>
        <v>-11819</v>
      </c>
      <c r="Q103" s="122"/>
      <c r="R103" s="619" t="s">
        <v>216</v>
      </c>
      <c r="S103" s="620"/>
      <c r="T103" s="621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7">
        <f>+ROUND(+G106+J106+M106,0)</f>
        <v>0</v>
      </c>
      <c r="Q106" s="31"/>
      <c r="R106" s="595" t="s">
        <v>217</v>
      </c>
      <c r="S106" s="596"/>
      <c r="T106" s="597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1" t="s">
        <v>218</v>
      </c>
      <c r="S107" s="582"/>
      <c r="T107" s="583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89" t="s">
        <v>219</v>
      </c>
      <c r="S108" s="590"/>
      <c r="T108" s="591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1" t="s">
        <v>220</v>
      </c>
      <c r="S110" s="602"/>
      <c r="T110" s="603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04" t="s">
        <v>221</v>
      </c>
      <c r="S111" s="605"/>
      <c r="T111" s="606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589" t="s">
        <v>222</v>
      </c>
      <c r="S112" s="590"/>
      <c r="T112" s="591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5" t="s">
        <v>223</v>
      </c>
      <c r="S114" s="596"/>
      <c r="T114" s="597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1" t="s">
        <v>224</v>
      </c>
      <c r="S115" s="582"/>
      <c r="T115" s="583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89" t="s">
        <v>225</v>
      </c>
      <c r="S116" s="590"/>
      <c r="T116" s="591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>
        <v>-3357</v>
      </c>
      <c r="G118" s="275">
        <v>6022</v>
      </c>
      <c r="H118" s="15"/>
      <c r="I118" s="276"/>
      <c r="J118" s="275"/>
      <c r="K118" s="243"/>
      <c r="L118" s="276">
        <v>-2498950</v>
      </c>
      <c r="M118" s="275">
        <v>2300245</v>
      </c>
      <c r="N118" s="243"/>
      <c r="O118" s="383">
        <f>+ROUND(+F118+I118+L118,0)</f>
        <v>-2502307</v>
      </c>
      <c r="P118" s="376">
        <f>+ROUND(+G118+J118+M118,0)</f>
        <v>2306267</v>
      </c>
      <c r="Q118" s="31"/>
      <c r="R118" s="595" t="s">
        <v>226</v>
      </c>
      <c r="S118" s="596"/>
      <c r="T118" s="597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581" t="s">
        <v>227</v>
      </c>
      <c r="S119" s="582"/>
      <c r="T119" s="583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-3357</v>
      </c>
      <c r="G120" s="277">
        <f>+ROUND(+SUM(G118:G119),0)</f>
        <v>6022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-2498950</v>
      </c>
      <c r="M120" s="277">
        <f>+ROUND(+SUM(M118:M119),0)</f>
        <v>2300245</v>
      </c>
      <c r="N120" s="243"/>
      <c r="O120" s="398">
        <f>+ROUND(+SUM(O118:O119),0)</f>
        <v>-2502307</v>
      </c>
      <c r="P120" s="399">
        <f>+ROUND(+SUM(P118:P119),0)</f>
        <v>2306267</v>
      </c>
      <c r="Q120" s="31"/>
      <c r="R120" s="589" t="s">
        <v>228</v>
      </c>
      <c r="S120" s="590"/>
      <c r="T120" s="591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-3357</v>
      </c>
      <c r="G122" s="288">
        <f>+ROUND(G108+G112+G116+G120,0)</f>
        <v>6022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-2498950</v>
      </c>
      <c r="M122" s="288">
        <f>+ROUND(M108+M112+M116+M120,0)</f>
        <v>2300245</v>
      </c>
      <c r="N122" s="243"/>
      <c r="O122" s="402">
        <f>+ROUND(O108+O112+O116+O120,0)</f>
        <v>-2502307</v>
      </c>
      <c r="P122" s="409">
        <f>+ROUND(P108+P112+P116+P120,0)</f>
        <v>2306267</v>
      </c>
      <c r="Q122" s="31"/>
      <c r="R122" s="592" t="s">
        <v>229</v>
      </c>
      <c r="S122" s="593"/>
      <c r="T122" s="594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595" t="s">
        <v>230</v>
      </c>
      <c r="S124" s="596"/>
      <c r="T124" s="597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-8670243</v>
      </c>
      <c r="G125" s="249">
        <v>7544384</v>
      </c>
      <c r="H125" s="15"/>
      <c r="I125" s="250">
        <f>8036600-61717+695360</f>
        <v>8670243</v>
      </c>
      <c r="J125" s="249">
        <v>-7544384</v>
      </c>
      <c r="K125" s="243"/>
      <c r="L125" s="250">
        <v>534937</v>
      </c>
      <c r="M125" s="249">
        <v>-3618003</v>
      </c>
      <c r="N125" s="243"/>
      <c r="O125" s="378">
        <f t="shared" si="7"/>
        <v>534937</v>
      </c>
      <c r="P125" s="401">
        <f t="shared" si="7"/>
        <v>-3618003</v>
      </c>
      <c r="Q125" s="31"/>
      <c r="R125" s="581" t="s">
        <v>231</v>
      </c>
      <c r="S125" s="582"/>
      <c r="T125" s="583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485822</v>
      </c>
      <c r="G126" s="249">
        <v>-150155</v>
      </c>
      <c r="H126" s="15"/>
      <c r="I126" s="250">
        <f>31296-1440-515678</f>
        <v>-485822</v>
      </c>
      <c r="J126" s="249">
        <v>150155</v>
      </c>
      <c r="K126" s="243"/>
      <c r="L126" s="250"/>
      <c r="M126" s="249">
        <v>-3105</v>
      </c>
      <c r="N126" s="243"/>
      <c r="O126" s="378">
        <f t="shared" si="7"/>
        <v>0</v>
      </c>
      <c r="P126" s="401">
        <f t="shared" si="7"/>
        <v>-3105</v>
      </c>
      <c r="Q126" s="31"/>
      <c r="R126" s="610" t="s">
        <v>328</v>
      </c>
      <c r="S126" s="611"/>
      <c r="T126" s="612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2" t="s">
        <v>304</v>
      </c>
      <c r="C127" s="520"/>
      <c r="D127" s="521"/>
      <c r="E127" s="15"/>
      <c r="F127" s="531"/>
      <c r="G127" s="532"/>
      <c r="H127" s="15"/>
      <c r="I127" s="529"/>
      <c r="J127" s="530"/>
      <c r="K127" s="243"/>
      <c r="L127" s="529"/>
      <c r="M127" s="530"/>
      <c r="N127" s="243"/>
      <c r="O127" s="527"/>
      <c r="P127" s="528"/>
      <c r="Q127" s="31"/>
      <c r="R127" s="578" t="s">
        <v>305</v>
      </c>
      <c r="S127" s="579"/>
      <c r="T127" s="580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3"/>
      <c r="G128" s="524"/>
      <c r="H128" s="15"/>
      <c r="I128" s="523"/>
      <c r="J128" s="524"/>
      <c r="K128" s="243"/>
      <c r="L128" s="523"/>
      <c r="M128" s="524"/>
      <c r="N128" s="243"/>
      <c r="O128" s="525">
        <f t="shared" si="7"/>
        <v>0</v>
      </c>
      <c r="P128" s="526">
        <f t="shared" si="7"/>
        <v>0</v>
      </c>
      <c r="Q128" s="31"/>
      <c r="R128" s="613" t="s">
        <v>232</v>
      </c>
      <c r="S128" s="614"/>
      <c r="T128" s="615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-8184421</v>
      </c>
      <c r="G129" s="286">
        <f>+ROUND(+SUM(G124,G125,G126,G128),0)</f>
        <v>7394229</v>
      </c>
      <c r="H129" s="15"/>
      <c r="I129" s="287">
        <f>+ROUND(+SUM(I124,I125,I126,I128),0)</f>
        <v>8184421</v>
      </c>
      <c r="J129" s="286">
        <f>+ROUND(+SUM(J124,J125,J126,J128),0)</f>
        <v>-7394229</v>
      </c>
      <c r="K129" s="243"/>
      <c r="L129" s="287">
        <f>+ROUND(+SUM(L124,L125,L126,L128),0)</f>
        <v>534937</v>
      </c>
      <c r="M129" s="286">
        <f>+ROUND(+SUM(M124,M125,M126,M128),0)</f>
        <v>-3621108</v>
      </c>
      <c r="N129" s="243"/>
      <c r="O129" s="403">
        <f>+ROUND(+SUM(O124,O125,O126,O128),0)</f>
        <v>534937</v>
      </c>
      <c r="P129" s="404">
        <f>+ROUND(+SUM(P124,P125,P126,P128),0)</f>
        <v>-3621108</v>
      </c>
      <c r="Q129" s="31"/>
      <c r="R129" s="607" t="s">
        <v>233</v>
      </c>
      <c r="S129" s="608"/>
      <c r="T129" s="609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5754215</v>
      </c>
      <c r="G131" s="245">
        <v>4409841</v>
      </c>
      <c r="H131" s="15"/>
      <c r="I131" s="246"/>
      <c r="J131" s="245"/>
      <c r="K131" s="243"/>
      <c r="L131" s="246">
        <v>22064199</v>
      </c>
      <c r="M131" s="245">
        <v>23385062</v>
      </c>
      <c r="N131" s="243"/>
      <c r="O131" s="382">
        <f aca="true" t="shared" si="8" ref="O131:P133">+ROUND(+F131+I131+L131,0)</f>
        <v>27818414</v>
      </c>
      <c r="P131" s="395">
        <f t="shared" si="8"/>
        <v>27794903</v>
      </c>
      <c r="Q131" s="31"/>
      <c r="R131" s="595" t="s">
        <v>234</v>
      </c>
      <c r="S131" s="596"/>
      <c r="T131" s="597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1" t="s">
        <v>119</v>
      </c>
      <c r="C132" s="168"/>
      <c r="D132" s="169"/>
      <c r="E132" s="15"/>
      <c r="F132" s="250">
        <v>-242</v>
      </c>
      <c r="G132" s="249">
        <v>-10355</v>
      </c>
      <c r="H132" s="15"/>
      <c r="I132" s="250"/>
      <c r="J132" s="249"/>
      <c r="K132" s="243"/>
      <c r="L132" s="250"/>
      <c r="M132" s="249"/>
      <c r="N132" s="243"/>
      <c r="O132" s="378">
        <f t="shared" si="8"/>
        <v>-242</v>
      </c>
      <c r="P132" s="401">
        <f t="shared" si="8"/>
        <v>-10355</v>
      </c>
      <c r="Q132" s="31"/>
      <c r="R132" s="581" t="s">
        <v>235</v>
      </c>
      <c r="S132" s="582"/>
      <c r="T132" s="583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3920803</v>
      </c>
      <c r="G133" s="249">
        <v>5754215</v>
      </c>
      <c r="H133" s="15"/>
      <c r="I133" s="250"/>
      <c r="J133" s="249"/>
      <c r="K133" s="243"/>
      <c r="L133" s="250">
        <v>20100183</v>
      </c>
      <c r="M133" s="249">
        <v>22064199</v>
      </c>
      <c r="N133" s="243"/>
      <c r="O133" s="378">
        <f t="shared" si="8"/>
        <v>24020986</v>
      </c>
      <c r="P133" s="401">
        <f t="shared" si="8"/>
        <v>27818414</v>
      </c>
      <c r="Q133" s="31"/>
      <c r="R133" s="598" t="s">
        <v>236</v>
      </c>
      <c r="S133" s="599"/>
      <c r="T133" s="600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-1833170</v>
      </c>
      <c r="G134" s="291">
        <f>+ROUND(+G133-G131-G132,0)</f>
        <v>1354729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-1964016</v>
      </c>
      <c r="M134" s="291">
        <f>+ROUND(+M133-M131-M132,0)</f>
        <v>-1320863</v>
      </c>
      <c r="N134" s="243"/>
      <c r="O134" s="411">
        <f>+ROUND(+O133-O131-O132,0)</f>
        <v>-3797186</v>
      </c>
      <c r="P134" s="412">
        <f>+ROUND(+P133-P131-P132,0)</f>
        <v>33866</v>
      </c>
      <c r="Q134" s="31"/>
      <c r="R134" s="586" t="s">
        <v>237</v>
      </c>
      <c r="S134" s="587"/>
      <c r="T134" s="588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3"/>
      <c r="D135" s="673"/>
      <c r="E135" s="15"/>
      <c r="F135" s="490">
        <f>+ROUND(F85,0)+ROUND(F86,0)</f>
        <v>0</v>
      </c>
      <c r="G135" s="493">
        <f>+ROUND(G85,0)+ROUND(G86,0)</f>
        <v>0</v>
      </c>
      <c r="H135" s="145"/>
      <c r="I135" s="490">
        <f>+ROUND(I85,0)+ROUND(I86,0)</f>
        <v>0</v>
      </c>
      <c r="J135" s="493">
        <f>+ROUND(J85,0)+ROUND(J86,0)</f>
        <v>0</v>
      </c>
      <c r="K135" s="491"/>
      <c r="L135" s="490">
        <f>+ROUND(L85,0)+ROUND(L86,0)</f>
        <v>0</v>
      </c>
      <c r="M135" s="493">
        <f>+ROUND(M85,0)+ROUND(M86,0)</f>
        <v>0</v>
      </c>
      <c r="N135" s="491"/>
      <c r="O135" s="492">
        <f>+ROUND(O85,0)+ROUND(O86,0)</f>
        <v>0</v>
      </c>
      <c r="P135" s="493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5"/>
      <c r="C136" s="435"/>
      <c r="D136" s="435"/>
      <c r="E136" s="435"/>
      <c r="F136" s="436"/>
      <c r="G136" s="436"/>
      <c r="H136" s="15"/>
      <c r="I136" s="436"/>
      <c r="J136" s="436"/>
      <c r="K136" s="16"/>
      <c r="L136" s="436"/>
      <c r="M136" s="436"/>
      <c r="N136" s="16"/>
      <c r="O136" s="436"/>
      <c r="P136" s="436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5"/>
      <c r="C137" s="435"/>
      <c r="D137" s="435"/>
      <c r="E137" s="435"/>
      <c r="F137" s="533">
        <f>+IF(F138&lt;&gt;0,"ГРЕШКА - ред 127",0)</f>
        <v>0</v>
      </c>
      <c r="G137" s="533">
        <f>+IF(G138&lt;&gt;0,"ГРЕШКА - ред 127",0)</f>
        <v>0</v>
      </c>
      <c r="H137" s="15"/>
      <c r="I137" s="436"/>
      <c r="J137" s="436"/>
      <c r="K137" s="16"/>
      <c r="L137" s="436"/>
      <c r="M137" s="436"/>
      <c r="N137" s="16"/>
      <c r="O137" s="436"/>
      <c r="P137" s="436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5"/>
      <c r="C138" s="435"/>
      <c r="D138" s="435"/>
      <c r="E138" s="435"/>
      <c r="F138" s="533">
        <f>+IF(AND($M$1&lt;&gt;9900,F127&lt;&gt;0),F127,0)</f>
        <v>0</v>
      </c>
      <c r="G138" s="533">
        <f>+IF(AND($M$1&lt;&gt;9900,G127&lt;&gt;0),G127,0)</f>
        <v>0</v>
      </c>
      <c r="H138" s="15"/>
      <c r="I138" s="436"/>
      <c r="J138" s="436"/>
      <c r="K138" s="16"/>
      <c r="L138" s="436"/>
      <c r="M138" s="436"/>
      <c r="N138" s="16"/>
      <c r="O138" s="436"/>
      <c r="P138" s="436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5"/>
      <c r="C139" s="435"/>
      <c r="D139" s="435"/>
      <c r="E139" s="435"/>
      <c r="F139" s="436"/>
      <c r="G139" s="436"/>
      <c r="H139" s="15"/>
      <c r="I139" s="436"/>
      <c r="J139" s="436"/>
      <c r="K139" s="16"/>
      <c r="L139" s="436"/>
      <c r="M139" s="436"/>
      <c r="N139" s="16"/>
      <c r="O139" s="436"/>
      <c r="P139" s="436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5"/>
      <c r="C140" s="435"/>
      <c r="D140" s="435"/>
      <c r="E140" s="435"/>
      <c r="F140" s="436"/>
      <c r="G140" s="436"/>
      <c r="H140" s="15"/>
      <c r="I140" s="436"/>
      <c r="J140" s="436"/>
      <c r="K140" s="16"/>
      <c r="L140" s="436"/>
      <c r="M140" s="436"/>
      <c r="N140" s="16"/>
      <c r="O140" s="436"/>
      <c r="P140" s="436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5"/>
      <c r="C141" s="435"/>
      <c r="D141" s="435"/>
      <c r="E141" s="435"/>
      <c r="F141" s="436"/>
      <c r="G141" s="436"/>
      <c r="H141" s="15"/>
      <c r="I141" s="436"/>
      <c r="J141" s="436"/>
      <c r="K141" s="16"/>
      <c r="L141" s="436"/>
      <c r="M141" s="436"/>
      <c r="N141" s="16"/>
      <c r="O141" s="436"/>
      <c r="P141" s="436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18022019</v>
      </c>
      <c r="D142" s="31" t="s">
        <v>6</v>
      </c>
      <c r="E142" s="15"/>
      <c r="F142" s="437"/>
      <c r="G142" s="437"/>
      <c r="H142" s="15"/>
      <c r="I142" s="123"/>
      <c r="J142" s="123" t="s">
        <v>127</v>
      </c>
      <c r="K142" s="16"/>
      <c r="L142" s="436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3" t="s">
        <v>375</v>
      </c>
      <c r="G143" s="664"/>
      <c r="H143" s="664"/>
      <c r="I143" s="665"/>
      <c r="J143" s="362"/>
      <c r="K143" s="16"/>
      <c r="L143" s="362" t="s">
        <v>241</v>
      </c>
      <c r="M143" s="663" t="s">
        <v>376</v>
      </c>
      <c r="N143" s="664"/>
      <c r="O143" s="664"/>
      <c r="P143" s="665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7" t="s">
        <v>283</v>
      </c>
      <c r="C145" s="498"/>
      <c r="D145" s="499"/>
      <c r="F145" s="508" t="str">
        <f>+IF(+ROUND(F148,0)=0,"O K","НЕРАВНЕНИЕ!")</f>
        <v>O K</v>
      </c>
      <c r="G145" s="509" t="str">
        <f>+IF(+ROUND(G148,0)=0,"O K","НЕРАВНЕНИЕ!")</f>
        <v>O K</v>
      </c>
      <c r="I145" s="504" t="str">
        <f>+IF(+ROUND(I148,0)=0,"O K","НЕРАВНЕНИЕ!")</f>
        <v>O K</v>
      </c>
      <c r="J145" s="505" t="str">
        <f>+IF(+ROUND(J148,0)=0,"O K","НЕРАВНЕНИЕ!")</f>
        <v>O K</v>
      </c>
      <c r="K145" s="114"/>
      <c r="L145" s="500" t="str">
        <f>+IF(+ROUND(L148,0)=0,"O K","НЕРАВНЕНИЕ!")</f>
        <v>O K</v>
      </c>
      <c r="M145" s="501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7" t="s">
        <v>284</v>
      </c>
      <c r="C146" s="498"/>
      <c r="D146" s="499"/>
      <c r="F146" s="508" t="str">
        <f>+IF(+ROUND(F149,0)=0,"O K","НЕРАВНЕНИЕ!")</f>
        <v>O K</v>
      </c>
      <c r="G146" s="509" t="str">
        <f>+IF(+ROUND(G149,0)=0,"O K","НЕРАВНЕНИЕ!")</f>
        <v>O K</v>
      </c>
      <c r="I146" s="504" t="str">
        <f>+IF(+ROUND(I149,0)=0,"O K","НЕРАВНЕНИЕ!")</f>
        <v>O K</v>
      </c>
      <c r="J146" s="505" t="str">
        <f>+IF(+ROUND(J149,0)=0,"O K","НЕРАВНЕНИЕ!")</f>
        <v>O K</v>
      </c>
      <c r="K146" s="114"/>
      <c r="L146" s="500" t="str">
        <f>+IF(+ROUND(L149,0)=0,"O K","НЕРАВНЕНИЕ!")</f>
        <v>O K</v>
      </c>
      <c r="M146" s="501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7" t="s">
        <v>285</v>
      </c>
      <c r="C148" s="498"/>
      <c r="D148" s="499"/>
      <c r="F148" s="510">
        <f>+ROUND(F85,0)+ROUND(F86,0)</f>
        <v>0</v>
      </c>
      <c r="G148" s="511">
        <f>+ROUND(G85,0)+ROUND(G86,0)</f>
        <v>0</v>
      </c>
      <c r="I148" s="506">
        <f>+ROUND(I85,0)+ROUND(I86,0)</f>
        <v>0</v>
      </c>
      <c r="J148" s="507">
        <f>+ROUND(J85,0)+ROUND(J86,0)</f>
        <v>0</v>
      </c>
      <c r="K148" s="114"/>
      <c r="L148" s="502">
        <f>+ROUND(L85,0)+ROUND(L86,0)</f>
        <v>0</v>
      </c>
      <c r="M148" s="503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7" t="s">
        <v>286</v>
      </c>
      <c r="C149" s="498"/>
      <c r="D149" s="499"/>
      <c r="F149" s="510">
        <f>SUM(+ROUND(F85,0)+ROUND(F103,0)+ROUND(F122,0)+ROUND(F129,0)+ROUND(F131,0)+ROUND(F132,0))-ROUND(F133,0)</f>
        <v>0</v>
      </c>
      <c r="G149" s="511">
        <f>SUM(+ROUND(G85,0)+ROUND(G103,0)+ROUND(G122,0)+ROUND(G129,0)+ROUND(G131,0)+ROUND(G132,0))-ROUND(G133,0)</f>
        <v>0</v>
      </c>
      <c r="I149" s="506">
        <f>SUM(+ROUND(I85,0)+ROUND(I103,0)+ROUND(I122,0)+ROUND(I129,0)+ROUND(I131,0)+ROUND(I132,0))-ROUND(I133,0)</f>
        <v>0</v>
      </c>
      <c r="J149" s="507">
        <f>SUM(+ROUND(J85,0)+ROUND(J103,0)+ROUND(J122,0)+ROUND(J129,0)+ROUND(J131,0)+ROUND(J132,0))-ROUND(J133,0)</f>
        <v>0</v>
      </c>
      <c r="K149" s="114"/>
      <c r="L149" s="502">
        <f>SUM(+ROUND(L85,0)+ROUND(L103,0)+ROUND(L122,0)+ROUND(L129,0)+ROUND(L131,0)+ROUND(L132,0))-ROUND(L133,0)</f>
        <v>0</v>
      </c>
      <c r="M149" s="503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10" operator="notEqual" stopIfTrue="1">
      <formula>0</formula>
    </cfRule>
  </conditionalFormatting>
  <conditionalFormatting sqref="B135:B141 C136:E141">
    <cfRule type="cellIs" priority="153" dxfId="111" operator="notEqual" stopIfTrue="1">
      <formula>0</formula>
    </cfRule>
    <cfRule type="cellIs" priority="69" dxfId="112" operator="equal">
      <formula>0</formula>
    </cfRule>
  </conditionalFormatting>
  <conditionalFormatting sqref="F145:G146">
    <cfRule type="cellIs" priority="81" dxfId="113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13" operator="equal" stopIfTrue="1">
      <formula>"НЕРАВНЕНИЕ!"</formula>
    </cfRule>
  </conditionalFormatting>
  <conditionalFormatting sqref="L145:L146 N145:N146">
    <cfRule type="cellIs" priority="79" dxfId="113" operator="equal" stopIfTrue="1">
      <formula>"НЕРАВНЕНИЕ!"</formula>
    </cfRule>
  </conditionalFormatting>
  <conditionalFormatting sqref="F148:G149">
    <cfRule type="cellIs" priority="77" dxfId="113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13" operator="equal" stopIfTrue="1">
      <formula>"НЕРАВНЕНИЕ !"</formula>
    </cfRule>
  </conditionalFormatting>
  <conditionalFormatting sqref="L148:L149 N148:N149">
    <cfRule type="cellIs" priority="75" dxfId="113" operator="equal" stopIfTrue="1">
      <formula>"НЕРАВНЕНИЕ !"</formula>
    </cfRule>
  </conditionalFormatting>
  <conditionalFormatting sqref="L148:L149 O148:O149 F148:G149 I148:J149">
    <cfRule type="cellIs" priority="74" dxfId="113" operator="notEqual">
      <formula>0</formula>
    </cfRule>
  </conditionalFormatting>
  <conditionalFormatting sqref="L84">
    <cfRule type="cellIs" priority="55" dxfId="110" operator="notEqual" stopIfTrue="1">
      <formula>0</formula>
    </cfRule>
  </conditionalFormatting>
  <conditionalFormatting sqref="O84">
    <cfRule type="cellIs" priority="54" dxfId="110" operator="notEqual" stopIfTrue="1">
      <formula>0</formula>
    </cfRule>
  </conditionalFormatting>
  <conditionalFormatting sqref="L135:L142">
    <cfRule type="cellIs" priority="64" dxfId="110" operator="notEqual" stopIfTrue="1">
      <formula>0</formula>
    </cfRule>
  </conditionalFormatting>
  <conditionalFormatting sqref="O135:O141">
    <cfRule type="cellIs" priority="62" dxfId="110" operator="notEqual" stopIfTrue="1">
      <formula>0</formula>
    </cfRule>
  </conditionalFormatting>
  <conditionalFormatting sqref="M135:M141 M84">
    <cfRule type="cellIs" priority="45" dxfId="110" operator="notEqual" stopIfTrue="1">
      <formula>0</formula>
    </cfRule>
  </conditionalFormatting>
  <conditionalFormatting sqref="M145:M146">
    <cfRule type="cellIs" priority="44" dxfId="113" operator="equal" stopIfTrue="1">
      <formula>"НЕРАВНЕНИЕ!"</formula>
    </cfRule>
  </conditionalFormatting>
  <conditionalFormatting sqref="M148:M149">
    <cfRule type="cellIs" priority="43" dxfId="113" operator="equal" stopIfTrue="1">
      <formula>"НЕРАВНЕНИЕ !"</formula>
    </cfRule>
  </conditionalFormatting>
  <conditionalFormatting sqref="M148:M149">
    <cfRule type="cellIs" priority="42" dxfId="113" operator="notEqual">
      <formula>0</formula>
    </cfRule>
  </conditionalFormatting>
  <conditionalFormatting sqref="P135:P141 P84">
    <cfRule type="cellIs" priority="41" dxfId="110" operator="notEqual" stopIfTrue="1">
      <formula>0</formula>
    </cfRule>
  </conditionalFormatting>
  <conditionalFormatting sqref="P145:P146">
    <cfRule type="cellIs" priority="40" dxfId="113" operator="equal" stopIfTrue="1">
      <formula>"НЕРАВНЕНИЕ!"</formula>
    </cfRule>
  </conditionalFormatting>
  <conditionalFormatting sqref="P148:P149">
    <cfRule type="cellIs" priority="39" dxfId="113" operator="equal" stopIfTrue="1">
      <formula>"НЕРАВНЕНИЕ !"</formula>
    </cfRule>
  </conditionalFormatting>
  <conditionalFormatting sqref="P148:P149">
    <cfRule type="cellIs" priority="38" dxfId="113" operator="notEqual">
      <formula>0</formula>
    </cfRule>
  </conditionalFormatting>
  <conditionalFormatting sqref="B1">
    <cfRule type="cellIs" priority="37" dxfId="114" operator="equal" stopIfTrue="1">
      <formula>0</formula>
    </cfRule>
  </conditionalFormatting>
  <conditionalFormatting sqref="B3">
    <cfRule type="cellIs" priority="34" dxfId="114" operator="equal" stopIfTrue="1">
      <formula>0</formula>
    </cfRule>
  </conditionalFormatting>
  <conditionalFormatting sqref="G2:H2">
    <cfRule type="cellIs" priority="32" dxfId="113" operator="equal">
      <formula>"отчетено НЕРАВНЕНИЕ в таблица 'Status'!"</formula>
    </cfRule>
    <cfRule type="cellIs" priority="33" dxfId="115" operator="equal">
      <formula>0</formula>
    </cfRule>
  </conditionalFormatting>
  <conditionalFormatting sqref="J2">
    <cfRule type="cellIs" priority="31" dxfId="113" operator="notEqual">
      <formula>0</formula>
    </cfRule>
  </conditionalFormatting>
  <conditionalFormatting sqref="M2:N2">
    <cfRule type="cellIs" priority="30" dxfId="113" operator="notEqual">
      <formula>0</formula>
    </cfRule>
  </conditionalFormatting>
  <conditionalFormatting sqref="H1">
    <cfRule type="cellIs" priority="28" dxfId="113" operator="equal">
      <formula>"отчетено НЕРАВНЕНИЕ в таблица 'Status'!"</formula>
    </cfRule>
    <cfRule type="cellIs" priority="29" dxfId="115" operator="equal">
      <formula>0</formula>
    </cfRule>
  </conditionalFormatting>
  <conditionalFormatting sqref="K1">
    <cfRule type="cellIs" priority="27" dxfId="113" operator="notEqual">
      <formula>0</formula>
    </cfRule>
  </conditionalFormatting>
  <conditionalFormatting sqref="M1">
    <cfRule type="cellIs" priority="26" dxfId="114" operator="equal" stopIfTrue="1">
      <formula>0</formula>
    </cfRule>
  </conditionalFormatting>
  <conditionalFormatting sqref="N1">
    <cfRule type="cellIs" priority="25" dxfId="113" operator="notEqual">
      <formula>0</formula>
    </cfRule>
  </conditionalFormatting>
  <conditionalFormatting sqref="P1">
    <cfRule type="cellIs" priority="24" dxfId="114" operator="equal" stopIfTrue="1">
      <formula>0</formula>
    </cfRule>
  </conditionalFormatting>
  <conditionalFormatting sqref="S1:T1">
    <cfRule type="cellIs" priority="8" dxfId="116" operator="between" stopIfTrue="1">
      <formula>1000000000000</formula>
      <formula>9999999999999990</formula>
    </cfRule>
    <cfRule type="cellIs" priority="9" dxfId="117" operator="between" stopIfTrue="1">
      <formula>10000000000</formula>
      <formula>999999999999</formula>
    </cfRule>
    <cfRule type="cellIs" priority="10" dxfId="118" operator="between" stopIfTrue="1">
      <formula>1000000</formula>
      <formula>99999999</formula>
    </cfRule>
    <cfRule type="cellIs" priority="11" dxfId="119" operator="between" stopIfTrue="1">
      <formula>100</formula>
      <formula>9999</formula>
    </cfRule>
  </conditionalFormatting>
  <conditionalFormatting sqref="B84">
    <cfRule type="cellIs" priority="7" dxfId="111" operator="notEqual" stopIfTrue="1">
      <formula>0</formula>
    </cfRule>
    <cfRule type="cellIs" priority="6" dxfId="120" operator="equal">
      <formula>0</formula>
    </cfRule>
  </conditionalFormatting>
  <conditionalFormatting sqref="B127 R127">
    <cfRule type="expression" priority="5" dxfId="121" stopIfTrue="1">
      <formula>$M$1=9900</formula>
    </cfRule>
  </conditionalFormatting>
  <conditionalFormatting sqref="F138">
    <cfRule type="cellIs" priority="4" dxfId="113" operator="notEqual" stopIfTrue="1">
      <formula>0</formula>
    </cfRule>
  </conditionalFormatting>
  <conditionalFormatting sqref="G138">
    <cfRule type="cellIs" priority="3" dxfId="113" operator="notEqual" stopIfTrue="1">
      <formula>0</formula>
    </cfRule>
  </conditionalFormatting>
  <conditionalFormatting sqref="G138">
    <cfRule type="cellIs" priority="2" dxfId="113" operator="notEqual" stopIfTrue="1">
      <formula>0</formula>
    </cfRule>
  </conditionalFormatting>
  <conditionalFormatting sqref="G138">
    <cfRule type="cellIs" priority="1" dxfId="113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53 K113:L117 K150:L150 K30:L36 K144:L144 K97:L111 K134:L134 K130:L130 K25 K62:L63 K146:L147 K145 N146:O147 N145 K65:L81 K64 K83:L83 K82 K119:L124 K118 K126:L126 K125 K131 K133 K55:L60 K5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12" sqref="R1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0" customFormat="1" ht="16.5" customHeight="1">
      <c r="A1" s="6"/>
      <c r="B1" s="683" t="str">
        <f>+'Cash-Flow-2018-Leva'!B1:F1</f>
        <v>МИНИСТЕРСКИ СЪВЕТ</v>
      </c>
      <c r="C1" s="684"/>
      <c r="D1" s="684"/>
      <c r="E1" s="684"/>
      <c r="F1" s="685"/>
      <c r="G1" s="453" t="s">
        <v>253</v>
      </c>
      <c r="H1" s="137"/>
      <c r="I1" s="686">
        <f>+'Cash-Flow-2018-Leva'!I1:J1</f>
        <v>695025</v>
      </c>
      <c r="J1" s="687"/>
      <c r="K1" s="454"/>
      <c r="L1" s="455" t="s">
        <v>254</v>
      </c>
      <c r="M1" s="456">
        <f>+'Cash-Flow-2018-Leva'!M1</f>
        <v>300</v>
      </c>
      <c r="N1" s="454"/>
      <c r="O1" s="455" t="s">
        <v>246</v>
      </c>
      <c r="P1" s="468">
        <f>+'Cash-Flow-2018-Leva'!P1</f>
        <v>0</v>
      </c>
      <c r="Q1" s="459"/>
      <c r="R1" s="463" t="s">
        <v>240</v>
      </c>
      <c r="S1" s="688">
        <f>+'Cash-Flow-2018-Leva'!$S$1</f>
        <v>0</v>
      </c>
      <c r="T1" s="689"/>
      <c r="U1" s="459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0" customFormat="1" ht="14.25" customHeight="1">
      <c r="A2" s="6"/>
      <c r="B2" s="690" t="s">
        <v>258</v>
      </c>
      <c r="C2" s="691"/>
      <c r="D2" s="691"/>
      <c r="E2" s="691"/>
      <c r="F2" s="692"/>
      <c r="G2" s="137"/>
      <c r="H2" s="137"/>
      <c r="I2" s="457"/>
      <c r="J2" s="454"/>
      <c r="K2" s="457"/>
      <c r="L2" s="457"/>
      <c r="M2" s="454"/>
      <c r="N2" s="458"/>
      <c r="O2" s="459"/>
      <c r="P2" s="459"/>
      <c r="Q2" s="459"/>
      <c r="R2" s="459"/>
      <c r="S2" s="459"/>
      <c r="T2" s="459"/>
      <c r="U2" s="459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0" customFormat="1" ht="19.5" customHeight="1">
      <c r="A3" s="6"/>
      <c r="B3" s="693" t="str">
        <f>+'Cash-Flow-2018-Leva'!B3:F3</f>
        <v>[Седалище и адрес]</v>
      </c>
      <c r="C3" s="694"/>
      <c r="D3" s="694"/>
      <c r="E3" s="694"/>
      <c r="F3" s="695"/>
      <c r="G3" s="460" t="s">
        <v>245</v>
      </c>
      <c r="H3" s="696" t="str">
        <f>+'Cash-Flow-2018-Leva'!H3</f>
        <v>www.government.bg</v>
      </c>
      <c r="I3" s="697"/>
      <c r="J3" s="697"/>
      <c r="K3" s="698"/>
      <c r="L3" s="51" t="s">
        <v>255</v>
      </c>
      <c r="M3" s="699">
        <f>+'Cash-Flow-2018-Leva'!M3:P3</f>
        <v>0</v>
      </c>
      <c r="N3" s="700"/>
      <c r="O3" s="700"/>
      <c r="P3" s="701"/>
      <c r="Q3" s="459"/>
      <c r="R3" s="459"/>
      <c r="S3" s="459"/>
      <c r="T3" s="459"/>
      <c r="U3" s="459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5" t="s">
        <v>252</v>
      </c>
      <c r="E5" s="675"/>
      <c r="F5" s="675"/>
      <c r="G5" s="675"/>
      <c r="H5" s="675"/>
      <c r="I5" s="675"/>
      <c r="J5" s="675"/>
      <c r="K5" s="675"/>
      <c r="L5" s="675"/>
      <c r="M5" s="39"/>
      <c r="N5" s="39"/>
      <c r="O5" s="53" t="s">
        <v>18</v>
      </c>
      <c r="P5" s="466">
        <f>+'Cash-Flow-2018-Leva'!P5</f>
        <v>2018</v>
      </c>
      <c r="Q5" s="39"/>
      <c r="R5" s="674" t="s">
        <v>186</v>
      </c>
      <c r="S5" s="674"/>
      <c r="T5" s="674"/>
      <c r="U5" s="6"/>
    </row>
    <row r="6" spans="1:28" s="3" customFormat="1" ht="17.25" customHeight="1">
      <c r="A6" s="6"/>
      <c r="B6" s="52" t="s">
        <v>250</v>
      </c>
      <c r="C6" s="52"/>
      <c r="D6" s="675" t="s">
        <v>251</v>
      </c>
      <c r="E6" s="675"/>
      <c r="F6" s="675"/>
      <c r="G6" s="675"/>
      <c r="H6" s="675"/>
      <c r="I6" s="675"/>
      <c r="J6" s="675"/>
      <c r="K6" s="675"/>
      <c r="L6" s="675"/>
      <c r="M6" s="42"/>
      <c r="N6" s="5"/>
      <c r="O6" s="6"/>
      <c r="P6" s="6"/>
      <c r="Q6" s="1"/>
      <c r="R6" s="676">
        <f>+P4</f>
        <v>0</v>
      </c>
      <c r="S6" s="676"/>
      <c r="T6" s="67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7" t="str">
        <f>+B1</f>
        <v>МИНИСТЕРСКИ СЪВЕТ</v>
      </c>
      <c r="E8" s="677"/>
      <c r="F8" s="677"/>
      <c r="G8" s="677"/>
      <c r="H8" s="677"/>
      <c r="I8" s="677"/>
      <c r="J8" s="677"/>
      <c r="K8" s="677"/>
      <c r="L8" s="677"/>
      <c r="M8" s="461" t="s">
        <v>256</v>
      </c>
      <c r="N8" s="5"/>
      <c r="O8" s="464" t="str">
        <f>+'Cash-Flow-2018-Leva'!O8</f>
        <v>31.12.2018 г.</v>
      </c>
      <c r="P8" s="462" t="s">
        <v>8</v>
      </c>
      <c r="Q8" s="1"/>
      <c r="R8" s="678">
        <f>+P5</f>
        <v>2018</v>
      </c>
      <c r="S8" s="679"/>
      <c r="T8" s="68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1" t="s">
        <v>46</v>
      </c>
      <c r="M10" s="366" t="str">
        <f>+'Cash-Flow-2018-Leva'!M10</f>
        <v>Сметки за чуж-ди средства - ОТЧЕТ                </v>
      </c>
      <c r="N10" s="480"/>
      <c r="O10" s="483" t="s">
        <v>47</v>
      </c>
      <c r="P10" s="369" t="str">
        <f>+'Cash-Flow-2018-Leva'!P10</f>
        <v>ОБЩО КАСОВ ОТЧЕТ  </v>
      </c>
      <c r="Q10" s="425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31.12.2018 г.</v>
      </c>
      <c r="G11" s="413">
        <f>+'Cash-Flow-2018-Leva'!G11</f>
        <v>2017</v>
      </c>
      <c r="H11" s="5"/>
      <c r="I11" s="118" t="str">
        <f>+O8</f>
        <v>31.12.2018 г.</v>
      </c>
      <c r="J11" s="414">
        <f>+'Cash-Flow-2018-Leva'!J11</f>
        <v>2017</v>
      </c>
      <c r="K11" s="5"/>
      <c r="L11" s="116" t="str">
        <f>+O8</f>
        <v>31.12.2018 г.</v>
      </c>
      <c r="M11" s="415">
        <f>+'Cash-Flow-2018-Leva'!M11</f>
        <v>2017</v>
      </c>
      <c r="N11" s="480"/>
      <c r="O11" s="370" t="str">
        <f>+O8</f>
        <v>31.12.2018 г.</v>
      </c>
      <c r="P11" s="416">
        <f>+'Cash-Flow-2018-Leva'!P11</f>
        <v>2017</v>
      </c>
      <c r="Q11" s="426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5" t="s">
        <v>134</v>
      </c>
      <c r="C12" s="476"/>
      <c r="D12" s="477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0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1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1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1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503.825</v>
      </c>
      <c r="G16" s="283">
        <f>+'Cash-Flow-2018-Leva'!G16/1000</f>
        <v>501.135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1"/>
      <c r="O16" s="378">
        <f t="shared" si="0"/>
        <v>503.825</v>
      </c>
      <c r="P16" s="401">
        <f t="shared" si="1"/>
        <v>501.135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0"/>
      <c r="D17" s="521"/>
      <c r="E17" s="293"/>
      <c r="F17" s="529">
        <f>+'Cash-Flow-2018-Leva'!F17/1000</f>
        <v>0</v>
      </c>
      <c r="G17" s="530">
        <f>+'Cash-Flow-2018-Leva'!G17/1000</f>
        <v>0</v>
      </c>
      <c r="H17" s="293"/>
      <c r="I17" s="529">
        <f>+'Cash-Flow-2018-Leva'!I17/1000</f>
        <v>0</v>
      </c>
      <c r="J17" s="530">
        <f>+'Cash-Flow-2018-Leva'!J17/1000</f>
        <v>0</v>
      </c>
      <c r="K17" s="293"/>
      <c r="L17" s="529">
        <f>+'Cash-Flow-2018-Leva'!L17/1000</f>
        <v>0</v>
      </c>
      <c r="M17" s="530">
        <f>+'Cash-Flow-2018-Leva'!M17/1000</f>
        <v>0</v>
      </c>
      <c r="N17" s="481"/>
      <c r="O17" s="527">
        <f>+F17+I17+L17</f>
        <v>0</v>
      </c>
      <c r="P17" s="528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109.026</v>
      </c>
      <c r="G18" s="271">
        <f>+'Cash-Flow-2018-Leva'!G18/1000</f>
        <v>140.885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1"/>
      <c r="O18" s="382">
        <f t="shared" si="0"/>
        <v>109.026</v>
      </c>
      <c r="P18" s="395">
        <f t="shared" si="1"/>
        <v>140.885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6366.466</v>
      </c>
      <c r="G19" s="294">
        <f>+'Cash-Flow-2018-Leva'!G19/1000</f>
        <v>5868.347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1"/>
      <c r="O19" s="377">
        <f t="shared" si="0"/>
        <v>6366.466</v>
      </c>
      <c r="P19" s="427">
        <f t="shared" si="1"/>
        <v>5868.347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3148.725</v>
      </c>
      <c r="G20" s="294">
        <f>+'Cash-Flow-2018-Leva'!G20/1000</f>
        <v>3382.496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1"/>
      <c r="O20" s="377">
        <f t="shared" si="0"/>
        <v>3148.725</v>
      </c>
      <c r="P20" s="427">
        <f t="shared" si="1"/>
        <v>3382.496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1006.568</v>
      </c>
      <c r="G21" s="294">
        <f>+'Cash-Flow-2018-Leva'!G21/1000</f>
        <v>825.835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1"/>
      <c r="O21" s="377">
        <f t="shared" si="0"/>
        <v>1006.568</v>
      </c>
      <c r="P21" s="427">
        <f t="shared" si="1"/>
        <v>825.835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-0.396</v>
      </c>
      <c r="G22" s="294">
        <f>+'Cash-Flow-2018-Leva'!G22/1000</f>
        <v>0.507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0.001</v>
      </c>
      <c r="M22" s="294">
        <f>+'Cash-Flow-2018-Leva'!M22/1000</f>
        <v>0</v>
      </c>
      <c r="N22" s="481"/>
      <c r="O22" s="377">
        <f t="shared" si="0"/>
        <v>-0.395</v>
      </c>
      <c r="P22" s="427">
        <f t="shared" si="1"/>
        <v>0.507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1"/>
      <c r="O23" s="377">
        <f t="shared" si="0"/>
        <v>0</v>
      </c>
      <c r="P23" s="427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824.093</v>
      </c>
      <c r="G24" s="283">
        <f>+'Cash-Flow-2018-Leva'!G24/1000</f>
        <v>324.308</v>
      </c>
      <c r="H24" s="293"/>
      <c r="I24" s="284">
        <f>+'Cash-Flow-2018-Leva'!I24/1000</f>
        <v>0</v>
      </c>
      <c r="J24" s="283">
        <f>+'Cash-Flow-2018-Leva'!J24/1000</f>
        <v>-0.157</v>
      </c>
      <c r="K24" s="293"/>
      <c r="L24" s="284">
        <f>+'Cash-Flow-2018-Leva'!L24/1000</f>
        <v>0</v>
      </c>
      <c r="M24" s="283">
        <f>+'Cash-Flow-2018-Leva'!M24/1000</f>
        <v>0</v>
      </c>
      <c r="N24" s="481"/>
      <c r="O24" s="378">
        <f t="shared" si="0"/>
        <v>824.093</v>
      </c>
      <c r="P24" s="401">
        <f t="shared" si="1"/>
        <v>324.151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11958.306999999999</v>
      </c>
      <c r="G25" s="251">
        <f>+SUM(G15,G16,G18,G19,G20,G21,G22,G23,G24)</f>
        <v>11043.512999999999</v>
      </c>
      <c r="H25" s="293"/>
      <c r="I25" s="252">
        <f>+SUM(I15,I16,I18,I19,I20,I21,I22,I23,I24)</f>
        <v>0</v>
      </c>
      <c r="J25" s="251">
        <f>+SUM(J15,J16,J18,J19,J20,J21,J22,J23,J24)</f>
        <v>-0.157</v>
      </c>
      <c r="K25" s="293"/>
      <c r="L25" s="252">
        <f>+SUM(L15,L16,L18,L19,L20,L21,L22,L23,L24)</f>
        <v>0.001</v>
      </c>
      <c r="M25" s="251">
        <f>+SUM(M15,M16,M18,M19,M20,M21,M22,M23,M24)</f>
        <v>0</v>
      </c>
      <c r="N25" s="481"/>
      <c r="O25" s="379">
        <f>+SUM(O15,O16,O18,O19,O20,O21,O22,O23,O24)</f>
        <v>11958.307999999999</v>
      </c>
      <c r="P25" s="380">
        <f>+SUM(P15,P16,P18,P19,P20,P21,P22,P23,P24)</f>
        <v>11043.356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1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4434.908</v>
      </c>
      <c r="G27" s="271">
        <f>+'Cash-Flow-2018-Leva'!G27/1000</f>
        <v>5536.065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1"/>
      <c r="O27" s="382">
        <f aca="true" t="shared" si="2" ref="O27:P29">+F27+I27+L27</f>
        <v>4434.908</v>
      </c>
      <c r="P27" s="395">
        <f t="shared" si="2"/>
        <v>5536.065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1967.716</v>
      </c>
      <c r="G28" s="294">
        <f>+'Cash-Flow-2018-Leva'!G28/1000</f>
        <v>1116.547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1"/>
      <c r="O28" s="377">
        <f t="shared" si="2"/>
        <v>1967.716</v>
      </c>
      <c r="P28" s="427">
        <f t="shared" si="2"/>
        <v>1116.547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0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1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6402.624</v>
      </c>
      <c r="G30" s="251">
        <f>+SUM(G27:G29)</f>
        <v>6652.611999999999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1"/>
      <c r="O30" s="379">
        <f>+SUM(O27:O29)</f>
        <v>6402.624</v>
      </c>
      <c r="P30" s="380">
        <f>+SUM(P27:P29)</f>
        <v>6652.611999999999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1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1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1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1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1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1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3" t="s">
        <v>265</v>
      </c>
      <c r="C37" s="161"/>
      <c r="D37" s="162"/>
      <c r="E37" s="293"/>
      <c r="F37" s="252">
        <f>+'Cash-Flow-2018-Leva'!F37/1000</f>
        <v>-4094.734</v>
      </c>
      <c r="G37" s="251">
        <f>+'Cash-Flow-2018-Leva'!G37/1000</f>
        <v>-3721.03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1"/>
      <c r="O37" s="379">
        <f aca="true" t="shared" si="3" ref="O37:P40">+F37+I37+L37</f>
        <v>-4094.734</v>
      </c>
      <c r="P37" s="380">
        <f t="shared" si="3"/>
        <v>-3721.03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-3444.72</v>
      </c>
      <c r="G38" s="296">
        <f>+'Cash-Flow-2018-Leva'!G38/1000</f>
        <v>-3227.325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1"/>
      <c r="O38" s="392">
        <f t="shared" si="3"/>
        <v>-3444.72</v>
      </c>
      <c r="P38" s="428">
        <f t="shared" si="3"/>
        <v>-3227.325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-627.996</v>
      </c>
      <c r="G39" s="298">
        <f>+'Cash-Flow-2018-Leva'!G39/1000</f>
        <v>-472.655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1"/>
      <c r="O39" s="393">
        <f t="shared" si="3"/>
        <v>-627.996</v>
      </c>
      <c r="P39" s="429">
        <f t="shared" si="3"/>
        <v>-472.655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-21.978</v>
      </c>
      <c r="G40" s="300">
        <f>+'Cash-Flow-2018-Leva'!G40/1000</f>
        <v>-20.955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1"/>
      <c r="O40" s="394">
        <f t="shared" si="3"/>
        <v>-21.978</v>
      </c>
      <c r="P40" s="430">
        <f t="shared" si="3"/>
        <v>-20.955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1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34.816</v>
      </c>
      <c r="G42" s="251">
        <f>+'Cash-Flow-2018-Leva'!G42/1000</f>
        <v>29.97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1"/>
      <c r="O42" s="379">
        <f>+F42+I42+L42</f>
        <v>34.816</v>
      </c>
      <c r="P42" s="380">
        <f>+G42+J42+M42</f>
        <v>29.97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1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11.286</v>
      </c>
      <c r="G44" s="271">
        <f>+'Cash-Flow-2018-Leva'!G44/1000</f>
        <v>0</v>
      </c>
      <c r="H44" s="293"/>
      <c r="I44" s="272">
        <f>+'Cash-Flow-2018-Leva'!I44/1000</f>
        <v>727.539</v>
      </c>
      <c r="J44" s="271">
        <f>+'Cash-Flow-2018-Leva'!J44/1000</f>
        <v>3302.185</v>
      </c>
      <c r="K44" s="293"/>
      <c r="L44" s="272">
        <f>+'Cash-Flow-2018-Leva'!L44/1000</f>
        <v>0</v>
      </c>
      <c r="M44" s="271">
        <f>+'Cash-Flow-2018-Leva'!M44/1000</f>
        <v>0</v>
      </c>
      <c r="N44" s="481"/>
      <c r="O44" s="382">
        <f aca="true" t="shared" si="4" ref="O44:P47">+F44+I44+L44</f>
        <v>738.8249999999999</v>
      </c>
      <c r="P44" s="395">
        <f t="shared" si="4"/>
        <v>3302.185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660.522</v>
      </c>
      <c r="J45" s="294">
        <f>+'Cash-Flow-2018-Leva'!J45/1000</f>
        <v>425.64</v>
      </c>
      <c r="K45" s="293"/>
      <c r="L45" s="295">
        <f>+'Cash-Flow-2018-Leva'!L45/1000</f>
        <v>0</v>
      </c>
      <c r="M45" s="294">
        <f>+'Cash-Flow-2018-Leva'!M45/1000</f>
        <v>0</v>
      </c>
      <c r="N45" s="481"/>
      <c r="O45" s="377">
        <f t="shared" si="4"/>
        <v>660.522</v>
      </c>
      <c r="P45" s="427">
        <f t="shared" si="4"/>
        <v>425.64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1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1"/>
      <c r="O46" s="377">
        <f t="shared" si="4"/>
        <v>0</v>
      </c>
      <c r="P46" s="427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26.311</v>
      </c>
      <c r="G47" s="283">
        <f>+'Cash-Flow-2018-Leva'!G47/1000</f>
        <v>29.845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1"/>
      <c r="O47" s="378">
        <f t="shared" si="4"/>
        <v>26.311</v>
      </c>
      <c r="P47" s="401">
        <f t="shared" si="4"/>
        <v>29.845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37.597</v>
      </c>
      <c r="G48" s="251">
        <f>+SUM(G44:G47)</f>
        <v>29.845</v>
      </c>
      <c r="H48" s="293"/>
      <c r="I48" s="252">
        <f>+SUM(I44:I47)</f>
        <v>1388.0610000000001</v>
      </c>
      <c r="J48" s="251">
        <f>+SUM(J44:J47)</f>
        <v>3727.825</v>
      </c>
      <c r="K48" s="293"/>
      <c r="L48" s="252">
        <f>+SUM(L44:L47)</f>
        <v>0</v>
      </c>
      <c r="M48" s="251">
        <f>+SUM(M44:M47)</f>
        <v>0</v>
      </c>
      <c r="N48" s="481"/>
      <c r="O48" s="379">
        <f>+SUM(O44:O47)</f>
        <v>1425.658</v>
      </c>
      <c r="P48" s="380">
        <f>+SUM(P44:P47)</f>
        <v>3757.6699999999996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2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14338.609999999997</v>
      </c>
      <c r="G50" s="273">
        <f>+G25+G30+G37+G42+G48</f>
        <v>14034.909999999998</v>
      </c>
      <c r="H50" s="293"/>
      <c r="I50" s="274">
        <f>+I25+I30+I37+I42+I48</f>
        <v>1388.0610000000001</v>
      </c>
      <c r="J50" s="273">
        <f>+J25+J30+J37+J42+J48</f>
        <v>3727.6679999999997</v>
      </c>
      <c r="K50" s="293"/>
      <c r="L50" s="274">
        <f>+L25+L30+L37+L42+L48</f>
        <v>0.001</v>
      </c>
      <c r="M50" s="273">
        <f>+M25+M30+M37+M42+M48</f>
        <v>0</v>
      </c>
      <c r="N50" s="481"/>
      <c r="O50" s="396">
        <f>+O25+O30+O37+O42+O48</f>
        <v>15726.672</v>
      </c>
      <c r="P50" s="397">
        <f>+P25+P30+P37+P42+P48</f>
        <v>17762.577999999998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1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1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36814.526</v>
      </c>
      <c r="G53" s="244">
        <f>+'Cash-Flow-2018-Leva'!G53/1000</f>
        <v>65593.522</v>
      </c>
      <c r="H53" s="293"/>
      <c r="I53" s="254">
        <f>+'Cash-Flow-2018-Leva'!I53/1000</f>
        <v>13505.357</v>
      </c>
      <c r="J53" s="244">
        <f>+'Cash-Flow-2018-Leva'!J53/1000</f>
        <v>11360.753</v>
      </c>
      <c r="K53" s="293"/>
      <c r="L53" s="254">
        <f>+'Cash-Flow-2018-Leva'!L53/1000</f>
        <v>0</v>
      </c>
      <c r="M53" s="244">
        <f>+'Cash-Flow-2018-Leva'!M53/1000</f>
        <v>0</v>
      </c>
      <c r="N53" s="481"/>
      <c r="O53" s="382">
        <f aca="true" t="shared" si="5" ref="O53:P57">+F53+I53+L53</f>
        <v>50319.883</v>
      </c>
      <c r="P53" s="376">
        <f t="shared" si="5"/>
        <v>76954.275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309.261</v>
      </c>
      <c r="G54" s="283">
        <f>+'Cash-Flow-2018-Leva'!G54/1000</f>
        <v>329.743</v>
      </c>
      <c r="H54" s="293"/>
      <c r="I54" s="284">
        <f>+'Cash-Flow-2018-Leva'!I54/1000</f>
        <v>4.19</v>
      </c>
      <c r="J54" s="283">
        <f>+'Cash-Flow-2018-Leva'!J54/1000</f>
        <v>0.075</v>
      </c>
      <c r="K54" s="293"/>
      <c r="L54" s="284">
        <f>+'Cash-Flow-2018-Leva'!L54/1000</f>
        <v>0.004</v>
      </c>
      <c r="M54" s="283">
        <f>+'Cash-Flow-2018-Leva'!M54/1000</f>
        <v>0</v>
      </c>
      <c r="N54" s="481"/>
      <c r="O54" s="378">
        <f t="shared" si="5"/>
        <v>313.45500000000004</v>
      </c>
      <c r="P54" s="401">
        <f t="shared" si="5"/>
        <v>329.818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3521.568</v>
      </c>
      <c r="G55" s="283">
        <f>+'Cash-Flow-2018-Leva'!G55/1000</f>
        <v>4487.936</v>
      </c>
      <c r="H55" s="293"/>
      <c r="I55" s="284">
        <f>+'Cash-Flow-2018-Leva'!I55/1000</f>
        <v>5.363</v>
      </c>
      <c r="J55" s="283">
        <f>+'Cash-Flow-2018-Leva'!J55/1000</f>
        <v>1.632</v>
      </c>
      <c r="K55" s="293"/>
      <c r="L55" s="284">
        <f>+'Cash-Flow-2018-Leva'!L55/1000</f>
        <v>0</v>
      </c>
      <c r="M55" s="283">
        <f>+'Cash-Flow-2018-Leva'!M55/1000</f>
        <v>0</v>
      </c>
      <c r="N55" s="481"/>
      <c r="O55" s="378">
        <f t="shared" si="5"/>
        <v>3526.931</v>
      </c>
      <c r="P55" s="401">
        <f t="shared" si="5"/>
        <v>4489.567999999999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49016.162</v>
      </c>
      <c r="G56" s="283">
        <f>+'Cash-Flow-2018-Leva'!G56/1000</f>
        <v>51293.079</v>
      </c>
      <c r="H56" s="293"/>
      <c r="I56" s="284">
        <f>+'Cash-Flow-2018-Leva'!I56/1000</f>
        <v>5009.146</v>
      </c>
      <c r="J56" s="283">
        <f>+'Cash-Flow-2018-Leva'!J56/1000</f>
        <v>4451.99</v>
      </c>
      <c r="K56" s="293"/>
      <c r="L56" s="284">
        <f>+'Cash-Flow-2018-Leva'!L56/1000</f>
        <v>0</v>
      </c>
      <c r="M56" s="283">
        <f>+'Cash-Flow-2018-Leva'!M56/1000</f>
        <v>0</v>
      </c>
      <c r="N56" s="481"/>
      <c r="O56" s="378">
        <f t="shared" si="5"/>
        <v>54025.308</v>
      </c>
      <c r="P56" s="401">
        <f t="shared" si="5"/>
        <v>55745.068999999996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10852.165</v>
      </c>
      <c r="G57" s="283">
        <f>+'Cash-Flow-2018-Leva'!G57/1000</f>
        <v>10980.33</v>
      </c>
      <c r="H57" s="293"/>
      <c r="I57" s="284">
        <f>+'Cash-Flow-2018-Leva'!I57/1000</f>
        <v>1131.527</v>
      </c>
      <c r="J57" s="283">
        <f>+'Cash-Flow-2018-Leva'!J57/1000</f>
        <v>1046.329</v>
      </c>
      <c r="K57" s="293"/>
      <c r="L57" s="284">
        <f>+'Cash-Flow-2018-Leva'!L57/1000</f>
        <v>0</v>
      </c>
      <c r="M57" s="283">
        <f>+'Cash-Flow-2018-Leva'!M57/1000</f>
        <v>0</v>
      </c>
      <c r="N57" s="481"/>
      <c r="O57" s="378">
        <f t="shared" si="5"/>
        <v>11983.692000000001</v>
      </c>
      <c r="P57" s="401">
        <f t="shared" si="5"/>
        <v>12026.659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100513.682</v>
      </c>
      <c r="G58" s="277">
        <f>+SUM(G53:G57)</f>
        <v>132684.61</v>
      </c>
      <c r="H58" s="293"/>
      <c r="I58" s="278">
        <f>+SUM(I53:I57)</f>
        <v>19655.583</v>
      </c>
      <c r="J58" s="277">
        <f>+SUM(J53:J57)</f>
        <v>16860.779000000002</v>
      </c>
      <c r="K58" s="293"/>
      <c r="L58" s="278">
        <f>+SUM(L53:L57)</f>
        <v>0.004</v>
      </c>
      <c r="M58" s="277">
        <f>+SUM(M53:M57)</f>
        <v>0</v>
      </c>
      <c r="N58" s="481"/>
      <c r="O58" s="398">
        <f>+SUM(O53:O57)</f>
        <v>120169.26899999999</v>
      </c>
      <c r="P58" s="399">
        <f>+SUM(P53:P57)</f>
        <v>149545.38899999997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1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1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18379.59</v>
      </c>
      <c r="G61" s="283">
        <f>+'Cash-Flow-2018-Leva'!G61/1000</f>
        <v>14669.662</v>
      </c>
      <c r="H61" s="293"/>
      <c r="I61" s="284">
        <f>+'Cash-Flow-2018-Leva'!I61/1000</f>
        <v>7495.128</v>
      </c>
      <c r="J61" s="283">
        <f>+'Cash-Flow-2018-Leva'!J61/1000</f>
        <v>4420.573</v>
      </c>
      <c r="K61" s="293"/>
      <c r="L61" s="284">
        <f>+'Cash-Flow-2018-Leva'!L61/1000</f>
        <v>0</v>
      </c>
      <c r="M61" s="283">
        <f>+'Cash-Flow-2018-Leva'!M61/1000</f>
        <v>0</v>
      </c>
      <c r="N61" s="481"/>
      <c r="O61" s="378">
        <f t="shared" si="6"/>
        <v>25874.718</v>
      </c>
      <c r="P61" s="401">
        <f t="shared" si="6"/>
        <v>19090.235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393.842</v>
      </c>
      <c r="G62" s="283">
        <f>+'Cash-Flow-2018-Leva'!G62/1000</f>
        <v>796.548</v>
      </c>
      <c r="H62" s="293"/>
      <c r="I62" s="284">
        <f>+'Cash-Flow-2018-Leva'!I62/1000</f>
        <v>2567.929</v>
      </c>
      <c r="J62" s="283">
        <f>+'Cash-Flow-2018-Leva'!J62/1000</f>
        <v>61.177</v>
      </c>
      <c r="K62" s="293"/>
      <c r="L62" s="284">
        <f>+'Cash-Flow-2018-Leva'!L62/1000</f>
        <v>0</v>
      </c>
      <c r="M62" s="283">
        <f>+'Cash-Flow-2018-Leva'!M62/1000</f>
        <v>0</v>
      </c>
      <c r="N62" s="481"/>
      <c r="O62" s="378">
        <f t="shared" si="6"/>
        <v>2961.771</v>
      </c>
      <c r="P62" s="401">
        <f t="shared" si="6"/>
        <v>857.725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1"/>
      <c r="O63" s="400">
        <f t="shared" si="6"/>
        <v>0</v>
      </c>
      <c r="P63" s="431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1"/>
      <c r="O64" s="432">
        <f t="shared" si="6"/>
        <v>0</v>
      </c>
      <c r="P64" s="433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18773.432</v>
      </c>
      <c r="G65" s="277">
        <f>+SUM(G60:G63)</f>
        <v>15466.210000000001</v>
      </c>
      <c r="H65" s="293"/>
      <c r="I65" s="278">
        <f>+SUM(I60:I63)</f>
        <v>10063.057</v>
      </c>
      <c r="J65" s="277">
        <f>+SUM(J60:J63)</f>
        <v>4481.75</v>
      </c>
      <c r="K65" s="293"/>
      <c r="L65" s="278">
        <f>+SUM(L60:L63)</f>
        <v>0</v>
      </c>
      <c r="M65" s="277">
        <f>+SUM(M60:M63)</f>
        <v>0</v>
      </c>
      <c r="N65" s="481"/>
      <c r="O65" s="398">
        <f>+SUM(O60:O63)</f>
        <v>28836.489</v>
      </c>
      <c r="P65" s="399">
        <f>+SUM(P60:P63)</f>
        <v>19947.96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1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1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1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1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1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65.818</v>
      </c>
      <c r="G71" s="244">
        <f>+'Cash-Flow-2018-Leva'!G71/1000</f>
        <v>69.803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1"/>
      <c r="O71" s="383">
        <f>+F71+I71+L71</f>
        <v>65.818</v>
      </c>
      <c r="P71" s="376">
        <f>+G71+J71+M71</f>
        <v>69.803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1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65.818</v>
      </c>
      <c r="G73" s="277">
        <f>+SUM(G71:G72)</f>
        <v>69.803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1"/>
      <c r="O73" s="398">
        <f>+SUM(O71:O72)</f>
        <v>65.818</v>
      </c>
      <c r="P73" s="399">
        <f>+SUM(P71:P72)</f>
        <v>69.803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1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9346.038</v>
      </c>
      <c r="G75" s="244">
        <f>+'Cash-Flow-2018-Leva'!G75/1000</f>
        <v>10235.339</v>
      </c>
      <c r="H75" s="293"/>
      <c r="I75" s="254">
        <f>+'Cash-Flow-2018-Leva'!I75/1000</f>
        <v>671.871</v>
      </c>
      <c r="J75" s="244">
        <f>+'Cash-Flow-2018-Leva'!J75/1000</f>
        <v>626.062</v>
      </c>
      <c r="K75" s="293"/>
      <c r="L75" s="254">
        <f>+'Cash-Flow-2018-Leva'!L75/1000</f>
        <v>0</v>
      </c>
      <c r="M75" s="244">
        <f>+'Cash-Flow-2018-Leva'!M75/1000</f>
        <v>0</v>
      </c>
      <c r="N75" s="481"/>
      <c r="O75" s="383">
        <f>+F75+I75+L75</f>
        <v>10017.909</v>
      </c>
      <c r="P75" s="376">
        <f>+G75+J75+M75</f>
        <v>10861.401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1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9346.038</v>
      </c>
      <c r="G77" s="277">
        <f>+SUM(G75:G76)</f>
        <v>10235.339</v>
      </c>
      <c r="H77" s="293"/>
      <c r="I77" s="278">
        <f>+SUM(I75:I76)</f>
        <v>671.871</v>
      </c>
      <c r="J77" s="277">
        <f>+SUM(J75:J76)</f>
        <v>626.062</v>
      </c>
      <c r="K77" s="293"/>
      <c r="L77" s="278">
        <f>+SUM(L75:L76)</f>
        <v>0</v>
      </c>
      <c r="M77" s="277">
        <f>+SUM(M75:M76)</f>
        <v>0</v>
      </c>
      <c r="N77" s="481"/>
      <c r="O77" s="398">
        <f>+SUM(O75:O76)</f>
        <v>10017.909</v>
      </c>
      <c r="P77" s="399">
        <f>+SUM(P75:P76)</f>
        <v>10861.401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1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2" t="s">
        <v>267</v>
      </c>
      <c r="C79" s="199"/>
      <c r="D79" s="200"/>
      <c r="E79" s="293"/>
      <c r="F79" s="285">
        <f>+F58+F65+F69+F73+F77</f>
        <v>128698.97</v>
      </c>
      <c r="G79" s="288">
        <f>+G58+G65+G69+G73+G77</f>
        <v>158455.962</v>
      </c>
      <c r="H79" s="293"/>
      <c r="I79" s="285">
        <f>+I58+I65+I69+I73+I77</f>
        <v>30390.511</v>
      </c>
      <c r="J79" s="288">
        <f>+J58+J65+J69+J73+J77</f>
        <v>21968.591000000004</v>
      </c>
      <c r="K79" s="293"/>
      <c r="L79" s="285">
        <f>+L58+L65+L69+L73+L77</f>
        <v>0.004</v>
      </c>
      <c r="M79" s="288">
        <f>+M58+M65+M69+M73+M77</f>
        <v>0</v>
      </c>
      <c r="N79" s="481"/>
      <c r="O79" s="402">
        <f>+O58+O65+O69+O73+O77</f>
        <v>159089.485</v>
      </c>
      <c r="P79" s="409">
        <f>+P58+P65+P69+P73+P77</f>
        <v>180424.55299999999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1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120709.297</v>
      </c>
      <c r="G81" s="271">
        <f>+'Cash-Flow-2018-Leva'!G81/1000</f>
        <v>138387.349</v>
      </c>
      <c r="H81" s="293"/>
      <c r="I81" s="272">
        <f>+'Cash-Flow-2018-Leva'!I81/1000</f>
        <v>20818.029</v>
      </c>
      <c r="J81" s="271">
        <f>+'Cash-Flow-2018-Leva'!J81/1000</f>
        <v>25635.152</v>
      </c>
      <c r="K81" s="293"/>
      <c r="L81" s="272">
        <f>+'Cash-Flow-2018-Leva'!L81/1000</f>
        <v>0</v>
      </c>
      <c r="M81" s="271">
        <f>+'Cash-Flow-2018-Leva'!M81/1000</f>
        <v>0</v>
      </c>
      <c r="N81" s="481"/>
      <c r="O81" s="382">
        <f>+F81+I81+L81</f>
        <v>141527.326</v>
      </c>
      <c r="P81" s="395">
        <f>+G81+J81+M81</f>
        <v>164022.501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1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120709.297</v>
      </c>
      <c r="G83" s="286">
        <f>+G81+G82</f>
        <v>138387.349</v>
      </c>
      <c r="H83" s="293"/>
      <c r="I83" s="287">
        <f>+I81+I82</f>
        <v>20818.029</v>
      </c>
      <c r="J83" s="286">
        <f>+J81+J82</f>
        <v>25635.152</v>
      </c>
      <c r="K83" s="293"/>
      <c r="L83" s="287">
        <f>+L81+L82</f>
        <v>0</v>
      </c>
      <c r="M83" s="286">
        <f>+M81+M82</f>
        <v>0</v>
      </c>
      <c r="N83" s="481"/>
      <c r="O83" s="403">
        <f>+O81+O82</f>
        <v>141527.326</v>
      </c>
      <c r="P83" s="404">
        <f>+P81+P82</f>
        <v>164022.501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2"/>
      <c r="D84" s="682"/>
      <c r="E84" s="5"/>
      <c r="F84" s="485">
        <f>+ROUND(+F85+F86,0)</f>
        <v>0</v>
      </c>
      <c r="G84" s="486">
        <f>+ROUND(+G85+G86,0)</f>
        <v>0</v>
      </c>
      <c r="H84" s="5"/>
      <c r="I84" s="485">
        <f>+ROUND(+I85+I86,0)</f>
        <v>0</v>
      </c>
      <c r="J84" s="486">
        <f>+ROUND(+J85+J86,0)</f>
        <v>0</v>
      </c>
      <c r="K84" s="5"/>
      <c r="L84" s="485">
        <f>+ROUND(+L85+L86,0)</f>
        <v>0</v>
      </c>
      <c r="M84" s="486">
        <f>+ROUND(+M85+M86,0)</f>
        <v>0</v>
      </c>
      <c r="N84" s="480"/>
      <c r="O84" s="494">
        <f>+ROUND(+O85+O86,0)</f>
        <v>0</v>
      </c>
      <c r="P84" s="495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6348.937000000005</v>
      </c>
      <c r="G85" s="307">
        <f>+G50-G79+G83</f>
        <v>-6033.703000000009</v>
      </c>
      <c r="H85" s="293"/>
      <c r="I85" s="308">
        <f>+I50-I79+I83</f>
        <v>-8184.4209999999985</v>
      </c>
      <c r="J85" s="307">
        <f>+J50-J79+J83</f>
        <v>7394.228999999996</v>
      </c>
      <c r="K85" s="293"/>
      <c r="L85" s="308">
        <f>+L50-L79+L83</f>
        <v>-0.003</v>
      </c>
      <c r="M85" s="307">
        <f>+M50-M79+M83</f>
        <v>0</v>
      </c>
      <c r="N85" s="481"/>
      <c r="O85" s="405">
        <f>+O50-O79+O83</f>
        <v>-1835.4869999999937</v>
      </c>
      <c r="P85" s="406">
        <f>+P50-P79+P83</f>
        <v>1360.5260000000126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-6348.937</v>
      </c>
      <c r="G86" s="309">
        <f>+G103+G122+G129-G134</f>
        <v>6033.703000000001</v>
      </c>
      <c r="H86" s="293"/>
      <c r="I86" s="310">
        <f>+I103+I122+I129-I134</f>
        <v>8184.421</v>
      </c>
      <c r="J86" s="309">
        <f>+J103+J122+J129-J134</f>
        <v>-7394.229</v>
      </c>
      <c r="K86" s="293"/>
      <c r="L86" s="310">
        <f>+L103+L122+L129-L134</f>
        <v>0.0029999999997016857</v>
      </c>
      <c r="M86" s="309">
        <f>+M103+M122+M129-M134</f>
        <v>0</v>
      </c>
      <c r="N86" s="481"/>
      <c r="O86" s="407">
        <f>+O103+O122+O129-O134</f>
        <v>1835.4869999999996</v>
      </c>
      <c r="P86" s="408">
        <f>+P103+P122+P129-P134</f>
        <v>-1360.525999999999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1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1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1"/>
      <c r="O89" s="377">
        <f>+F89+I89+L89</f>
        <v>0</v>
      </c>
      <c r="P89" s="427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1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3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1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1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1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1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1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1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1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3" t="s">
        <v>271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1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1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1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5.671</v>
      </c>
      <c r="G100" s="283">
        <f>+'Cash-Flow-2018-Leva'!G100/1000</f>
        <v>-11.819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1"/>
      <c r="O100" s="378">
        <f>+F100+I100+L100</f>
        <v>5.671</v>
      </c>
      <c r="P100" s="401">
        <f>+G100+J100+M100</f>
        <v>-11.819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5.671</v>
      </c>
      <c r="G101" s="251">
        <f>+SUM(G99:G100)</f>
        <v>-11.819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1"/>
      <c r="O101" s="379">
        <f>+SUM(O99:O100)</f>
        <v>5.671</v>
      </c>
      <c r="P101" s="380">
        <f>+SUM(P99:P100)</f>
        <v>-11.819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1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5.671</v>
      </c>
      <c r="G103" s="273">
        <f>+G91+G97+G101</f>
        <v>-11.819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1"/>
      <c r="O103" s="396">
        <f>+O91+O97+O101</f>
        <v>5.671</v>
      </c>
      <c r="P103" s="397">
        <f>+P91+P97+P101</f>
        <v>-11.819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1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1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1"/>
      <c r="O106" s="377">
        <f>+F106+I106+L106</f>
        <v>0</v>
      </c>
      <c r="P106" s="427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1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1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1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1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1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1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1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1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1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1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1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-3.357</v>
      </c>
      <c r="G118" s="244">
        <f>+'Cash-Flow-2018-Leva'!G118/1000</f>
        <v>6.022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-2498.95</v>
      </c>
      <c r="M118" s="244">
        <f>+'Cash-Flow-2018-Leva'!M118/1000</f>
        <v>2300.245</v>
      </c>
      <c r="N118" s="481"/>
      <c r="O118" s="383">
        <f>+F118+I118+L118</f>
        <v>-2502.307</v>
      </c>
      <c r="P118" s="376">
        <f>+G118+J118+M118</f>
        <v>2306.267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1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-3.357</v>
      </c>
      <c r="G120" s="277">
        <f>+SUM(G118:G119)</f>
        <v>6.022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-2498.95</v>
      </c>
      <c r="M120" s="277">
        <f>+SUM(M118:M119)</f>
        <v>2300.245</v>
      </c>
      <c r="N120" s="481"/>
      <c r="O120" s="398">
        <f>+SUM(O118:O119)</f>
        <v>-2502.307</v>
      </c>
      <c r="P120" s="399">
        <f>+SUM(P118:P119)</f>
        <v>2306.267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1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-3.357</v>
      </c>
      <c r="G122" s="288">
        <f>+G108+G112+G116+G120</f>
        <v>6.022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-2498.95</v>
      </c>
      <c r="M122" s="288">
        <f>+M108+M112+M116+M120</f>
        <v>2300.245</v>
      </c>
      <c r="N122" s="481"/>
      <c r="O122" s="402">
        <f>+O108+O112+O116+O120</f>
        <v>-2502.307</v>
      </c>
      <c r="P122" s="409">
        <f>+P108+P112+P116+P120</f>
        <v>2306.267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1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1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-8670.243</v>
      </c>
      <c r="G125" s="283">
        <f>+'Cash-Flow-2018-Leva'!G125/1000</f>
        <v>7544.384</v>
      </c>
      <c r="H125" s="293"/>
      <c r="I125" s="284">
        <f>+'Cash-Flow-2018-Leva'!I125/1000</f>
        <v>8670.243</v>
      </c>
      <c r="J125" s="283">
        <f>+'Cash-Flow-2018-Leva'!J125/1000</f>
        <v>-7544.384</v>
      </c>
      <c r="K125" s="293"/>
      <c r="L125" s="284">
        <f>+'Cash-Flow-2018-Leva'!L125/1000</f>
        <v>534.937</v>
      </c>
      <c r="M125" s="283">
        <f>+'Cash-Flow-2018-Leva'!M125/1000</f>
        <v>-3618.003</v>
      </c>
      <c r="N125" s="481"/>
      <c r="O125" s="378">
        <f t="shared" si="8"/>
        <v>534.937</v>
      </c>
      <c r="P125" s="401">
        <f t="shared" si="8"/>
        <v>-3618.003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485.822</v>
      </c>
      <c r="G126" s="283">
        <f>+'Cash-Flow-2018-Leva'!G126/1000</f>
        <v>-150.155</v>
      </c>
      <c r="H126" s="293"/>
      <c r="I126" s="284">
        <f>+'Cash-Flow-2018-Leva'!I126/1000</f>
        <v>-485.822</v>
      </c>
      <c r="J126" s="283">
        <f>+'Cash-Flow-2018-Leva'!J126/1000</f>
        <v>150.155</v>
      </c>
      <c r="K126" s="293"/>
      <c r="L126" s="284">
        <f>+'Cash-Flow-2018-Leva'!L126/1000</f>
        <v>0</v>
      </c>
      <c r="M126" s="283">
        <f>+'Cash-Flow-2018-Leva'!M126/1000</f>
        <v>-3.105</v>
      </c>
      <c r="N126" s="481"/>
      <c r="O126" s="378">
        <f t="shared" si="8"/>
        <v>0</v>
      </c>
      <c r="P126" s="401">
        <f t="shared" si="8"/>
        <v>-3.105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2" t="s">
        <v>304</v>
      </c>
      <c r="C127" s="520"/>
      <c r="D127" s="521"/>
      <c r="E127" s="293"/>
      <c r="F127" s="529">
        <f>+'Cash-Flow-2018-Leva'!F127/1000</f>
        <v>0</v>
      </c>
      <c r="G127" s="530">
        <f>+'Cash-Flow-2018-Leva'!G127/1000</f>
        <v>0</v>
      </c>
      <c r="H127" s="293"/>
      <c r="I127" s="529"/>
      <c r="J127" s="530"/>
      <c r="K127" s="293"/>
      <c r="L127" s="529"/>
      <c r="M127" s="530"/>
      <c r="N127" s="481"/>
      <c r="O127" s="527">
        <f>+F127+I127+L127</f>
        <v>0</v>
      </c>
      <c r="P127" s="528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1"/>
      <c r="O128" s="484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-8184.421</v>
      </c>
      <c r="G129" s="286">
        <f>+SUM(G124,G125,G126,G128)</f>
        <v>7394.229</v>
      </c>
      <c r="H129" s="293"/>
      <c r="I129" s="287">
        <f>+SUM(I124,I125,I126,I128)</f>
        <v>8184.421</v>
      </c>
      <c r="J129" s="286">
        <f>+SUM(J124,J125,J126,J128)</f>
        <v>-7394.229</v>
      </c>
      <c r="K129" s="293"/>
      <c r="L129" s="287">
        <f>+SUM(L124,L125,L126,L128)</f>
        <v>534.937</v>
      </c>
      <c r="M129" s="286">
        <f>+SUM(M124,M125,M126,M128)</f>
        <v>-3621.108</v>
      </c>
      <c r="N129" s="481"/>
      <c r="O129" s="403">
        <f>+SUM(O124,O125,O126,O128)</f>
        <v>534.937</v>
      </c>
      <c r="P129" s="404">
        <f>+SUM(P124,P125,P126,P128)</f>
        <v>-3621.108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1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5754.215</v>
      </c>
      <c r="G131" s="271">
        <f>+'Cash-Flow-2018-Leva'!G131/1000</f>
        <v>4409.841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22064.199</v>
      </c>
      <c r="M131" s="271">
        <f>+'Cash-Flow-2018-Leva'!M131/1000</f>
        <v>23385.062</v>
      </c>
      <c r="N131" s="481"/>
      <c r="O131" s="382">
        <f aca="true" t="shared" si="9" ref="O131:P133">+F131+I131+L131</f>
        <v>27818.414</v>
      </c>
      <c r="P131" s="395">
        <f t="shared" si="9"/>
        <v>27794.903000000002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1" t="s">
        <v>119</v>
      </c>
      <c r="C132" s="168"/>
      <c r="D132" s="169"/>
      <c r="E132" s="293"/>
      <c r="F132" s="284">
        <f>+'Cash-Flow-2018-Leva'!F132/1000</f>
        <v>-0.242</v>
      </c>
      <c r="G132" s="283">
        <f>+'Cash-Flow-2018-Leva'!G132/1000</f>
        <v>-10.355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1"/>
      <c r="O132" s="378">
        <f t="shared" si="9"/>
        <v>-0.242</v>
      </c>
      <c r="P132" s="401">
        <f t="shared" si="9"/>
        <v>-10.355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3920.803</v>
      </c>
      <c r="G133" s="283">
        <f>+'Cash-Flow-2018-Leva'!G133/1000</f>
        <v>5754.215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20100.183</v>
      </c>
      <c r="M133" s="283">
        <f>+'Cash-Flow-2018-Leva'!M133/1000</f>
        <v>22064.199</v>
      </c>
      <c r="N133" s="481"/>
      <c r="O133" s="378">
        <f t="shared" si="9"/>
        <v>24020.986</v>
      </c>
      <c r="P133" s="401">
        <f t="shared" si="9"/>
        <v>27818.414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-1833.1700000000003</v>
      </c>
      <c r="G134" s="291">
        <f>+G133-G131-G132</f>
        <v>1354.7289999999998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-1964.0159999999996</v>
      </c>
      <c r="M134" s="291">
        <f>+M133-M131-M132</f>
        <v>-1320.8630000000012</v>
      </c>
      <c r="N134" s="481"/>
      <c r="O134" s="411">
        <f>+O133-O131-O132</f>
        <v>-3797.1859999999997</v>
      </c>
      <c r="P134" s="412">
        <f>+P133-P131-P132</f>
        <v>33.86599999999861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1"/>
      <c r="D135" s="681"/>
      <c r="E135" s="5"/>
      <c r="F135" s="487">
        <f>+ROUND(+F85+F86,0)</f>
        <v>0</v>
      </c>
      <c r="G135" s="496">
        <f>+ROUND(+G85+G86,0)</f>
        <v>0</v>
      </c>
      <c r="H135" s="488"/>
      <c r="I135" s="487">
        <f>+ROUND(+I85+I86,0)</f>
        <v>0</v>
      </c>
      <c r="J135" s="496">
        <f>+ROUND(+J85+J86,0)</f>
        <v>0</v>
      </c>
      <c r="K135" s="488"/>
      <c r="L135" s="487">
        <f>+ROUND(+L85+L86,0)</f>
        <v>0</v>
      </c>
      <c r="M135" s="496">
        <f>+ROUND(+M85+M86,0)</f>
        <v>0</v>
      </c>
      <c r="N135" s="488"/>
      <c r="O135" s="489">
        <f>+ROUND(+O85+O86,0)</f>
        <v>0</v>
      </c>
      <c r="P135" s="496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5"/>
      <c r="C136" s="445"/>
      <c r="D136" s="445"/>
      <c r="E136" s="5"/>
      <c r="F136" s="424"/>
      <c r="G136" s="424"/>
      <c r="H136" s="5"/>
      <c r="I136" s="424"/>
      <c r="J136" s="424"/>
      <c r="K136" s="5"/>
      <c r="L136" s="424"/>
      <c r="M136" s="424"/>
      <c r="N136" s="5"/>
      <c r="O136" s="424"/>
      <c r="P136" s="424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5"/>
      <c r="C137" s="445"/>
      <c r="D137" s="445"/>
      <c r="E137" s="5"/>
      <c r="F137" s="534">
        <f>+IF(F138&lt;&gt;0,"ГРЕШКА - ред 127",0)</f>
        <v>0</v>
      </c>
      <c r="G137" s="534">
        <f>+IF(G138&lt;&gt;0,"ГРЕШКА - ред 127",0)</f>
        <v>0</v>
      </c>
      <c r="H137" s="5"/>
      <c r="I137" s="424"/>
      <c r="J137" s="424"/>
      <c r="K137" s="5"/>
      <c r="L137" s="424"/>
      <c r="M137" s="424"/>
      <c r="N137" s="5"/>
      <c r="O137" s="424"/>
      <c r="P137" s="424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5"/>
      <c r="C138" s="445"/>
      <c r="D138" s="445"/>
      <c r="E138" s="5"/>
      <c r="F138" s="534">
        <f>+IF(AND($M$1&lt;&gt;9900,+ROUND(F127,0)&lt;&gt;0),F127,0)</f>
        <v>0</v>
      </c>
      <c r="G138" s="534">
        <f>+IF(AND($M$1&lt;&gt;9900,+ROUND(G127,0)&lt;&gt;0),G127,0)</f>
        <v>0</v>
      </c>
      <c r="H138" s="5"/>
      <c r="I138" s="424"/>
      <c r="J138" s="424"/>
      <c r="K138" s="5"/>
      <c r="L138" s="424"/>
      <c r="M138" s="424"/>
      <c r="N138" s="5"/>
      <c r="O138" s="424"/>
      <c r="P138" s="424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5"/>
      <c r="C139" s="445"/>
      <c r="D139" s="445"/>
      <c r="E139" s="5"/>
      <c r="F139" s="424"/>
      <c r="G139" s="424"/>
      <c r="H139" s="5"/>
      <c r="I139" s="424"/>
      <c r="J139" s="424"/>
      <c r="K139" s="5"/>
      <c r="L139" s="424"/>
      <c r="M139" s="424"/>
      <c r="N139" s="5"/>
      <c r="O139" s="424"/>
      <c r="P139" s="424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5"/>
      <c r="C140" s="445"/>
      <c r="D140" s="445"/>
      <c r="E140" s="5"/>
      <c r="F140" s="424"/>
      <c r="G140" s="424"/>
      <c r="H140" s="5"/>
      <c r="I140" s="424"/>
      <c r="J140" s="424"/>
      <c r="K140" s="5"/>
      <c r="L140" s="424"/>
      <c r="M140" s="424"/>
      <c r="N140" s="5"/>
      <c r="O140" s="424"/>
      <c r="P140" s="424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5"/>
      <c r="C141" s="445"/>
      <c r="D141" s="445"/>
      <c r="E141" s="5"/>
      <c r="F141" s="424"/>
      <c r="G141" s="424"/>
      <c r="H141" s="5"/>
      <c r="I141" s="424"/>
      <c r="J141" s="424"/>
      <c r="K141" s="5"/>
      <c r="L141" s="424"/>
      <c r="M141" s="424"/>
      <c r="N141" s="5"/>
      <c r="O141" s="424"/>
      <c r="P141" s="424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18022019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4"/>
      <c r="M142" s="424"/>
      <c r="N142" s="5"/>
      <c r="O142" s="424"/>
      <c r="P142" s="424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702" t="str">
        <f>'Cash-Flow-2018-Leva'!F143:I143</f>
        <v>РОСИЦА БАРЪМОВА</v>
      </c>
      <c r="G143" s="703"/>
      <c r="H143" s="703"/>
      <c r="I143" s="703"/>
      <c r="J143" s="49"/>
      <c r="K143" s="49"/>
      <c r="L143" s="438" t="str">
        <f>+'Cash-Flow-2018-Leva'!L143:O143</f>
        <v>име и фамилия</v>
      </c>
      <c r="M143" s="702" t="str">
        <f>'Cash-Flow-2018-Leva'!M143:P143</f>
        <v>ВЕСЕЛИН ДАКОВ</v>
      </c>
      <c r="N143" s="703"/>
      <c r="O143" s="703"/>
      <c r="P143" s="703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7" t="s">
        <v>283</v>
      </c>
      <c r="C145" s="498"/>
      <c r="D145" s="499"/>
      <c r="E145" s="113"/>
      <c r="F145" s="508" t="str">
        <f>+IF(+F148=0,"O K","НЕРАВНЕНИЕ!")</f>
        <v>O K</v>
      </c>
      <c r="G145" s="509" t="str">
        <f>+IF(+G148=0,"O K","НЕРАВНЕНИЕ!")</f>
        <v>O K</v>
      </c>
      <c r="H145" s="113"/>
      <c r="I145" s="504" t="str">
        <f>+IF(+I148=0,"O K","НЕРАВНЕНИЕ!")</f>
        <v>O K</v>
      </c>
      <c r="J145" s="505" t="str">
        <f>+IF(+J148=0,"O K","НЕРАВНЕНИЕ!")</f>
        <v>O K</v>
      </c>
      <c r="K145" s="114"/>
      <c r="L145" s="500" t="str">
        <f>+IF(+L148=0,"O K","НЕРАВНЕНИЕ!")</f>
        <v>O K</v>
      </c>
      <c r="M145" s="501" t="str">
        <f>+IF(+M148=0,"O K","НЕРАВНЕНИЕ!")</f>
        <v>O K</v>
      </c>
      <c r="N145" s="115"/>
      <c r="O145" s="512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7" t="s">
        <v>284</v>
      </c>
      <c r="C146" s="498"/>
      <c r="D146" s="499"/>
      <c r="E146" s="113"/>
      <c r="F146" s="508" t="str">
        <f>+IF(+F149=0,"O K","НЕРАВНЕНИЕ!")</f>
        <v>O K</v>
      </c>
      <c r="G146" s="509" t="str">
        <f>+IF(+G149=0,"O K","НЕРАВНЕНИЕ!")</f>
        <v>O K</v>
      </c>
      <c r="H146" s="113"/>
      <c r="I146" s="504" t="str">
        <f>+IF(+I149=0,"O K","НЕРАВНЕНИЕ!")</f>
        <v>O K</v>
      </c>
      <c r="J146" s="505" t="str">
        <f>+IF(+J149=0,"O K","НЕРАВНЕНИЕ!")</f>
        <v>O K</v>
      </c>
      <c r="K146" s="114"/>
      <c r="L146" s="500" t="str">
        <f>+IF(+L149=0,"O K","НЕРАВНЕНИЕ!")</f>
        <v>O K</v>
      </c>
      <c r="M146" s="501" t="str">
        <f>+IF(+M149=0,"O K","НЕРАВНЕНИЕ!")</f>
        <v>O K</v>
      </c>
      <c r="N146" s="115"/>
      <c r="O146" s="513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7" t="s">
        <v>281</v>
      </c>
      <c r="C148" s="498"/>
      <c r="D148" s="499"/>
      <c r="E148" s="113"/>
      <c r="F148" s="510">
        <f>+ROUND(+F85+F86,0)</f>
        <v>0</v>
      </c>
      <c r="G148" s="511">
        <f>+ROUND(+G85+G86,0)</f>
        <v>0</v>
      </c>
      <c r="H148" s="113"/>
      <c r="I148" s="506">
        <f>+ROUND(+I85+I86,0)</f>
        <v>0</v>
      </c>
      <c r="J148" s="507">
        <f>+ROUND(+J85+J86,0)</f>
        <v>0</v>
      </c>
      <c r="K148" s="114"/>
      <c r="L148" s="502">
        <f>+ROUND(+L85+L86,0)</f>
        <v>0</v>
      </c>
      <c r="M148" s="503">
        <f>+ROUND(+M85+M86,0)</f>
        <v>0</v>
      </c>
      <c r="N148" s="115"/>
      <c r="O148" s="514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7" t="s">
        <v>282</v>
      </c>
      <c r="C149" s="498"/>
      <c r="D149" s="499"/>
      <c r="E149" s="113"/>
      <c r="F149" s="510">
        <f>ROUND(SUM(+F85+F103+F122+F129+F131+F132)-F133,0)</f>
        <v>0</v>
      </c>
      <c r="G149" s="511">
        <f>ROUND(SUM(+G85+G103+G122+G129+G131+G132)-G133,0)</f>
        <v>0</v>
      </c>
      <c r="H149" s="113"/>
      <c r="I149" s="506">
        <f>ROUND(SUM(+I85+I103+I122+I129+I131+I132)-I133,0)</f>
        <v>0</v>
      </c>
      <c r="J149" s="507">
        <f>ROUND(SUM(+J85+J103+J122+J129+J131+J132)-J133,0)</f>
        <v>0</v>
      </c>
      <c r="K149" s="114"/>
      <c r="L149" s="502">
        <f>ROUND(SUM(+L85+L103+L122+L129+L131+L132)-L133,0)</f>
        <v>0</v>
      </c>
      <c r="M149" s="503">
        <f>ROUND(SUM(+M85+M103+M122+M129+M131+M132)-M133,0)</f>
        <v>0</v>
      </c>
      <c r="N149" s="115"/>
      <c r="O149" s="515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6">
        <f>+IF(AND(+(O84-O128)&lt;&gt;0,+'Cash-Flow-2018-Leva'!O85+'Cash-Flow-2018-Leva'!O86=0),+(O84-O128),0)</f>
        <v>0</v>
      </c>
      <c r="P151" s="517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4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18"/>
      <c r="P152" s="519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7">
    <mergeCell ref="F143:I143"/>
    <mergeCell ref="M143:P143"/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10" operator="notEqual" stopIfTrue="1">
      <formula>0</formula>
    </cfRule>
  </conditionalFormatting>
  <conditionalFormatting sqref="B135:B141">
    <cfRule type="cellIs" priority="101" dxfId="111" operator="notEqual" stopIfTrue="1">
      <formula>0</formula>
    </cfRule>
    <cfRule type="cellIs" priority="82" dxfId="120" operator="equal">
      <formula>0</formula>
    </cfRule>
  </conditionalFormatting>
  <conditionalFormatting sqref="F145:G146">
    <cfRule type="cellIs" priority="90" dxfId="113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13" operator="equal" stopIfTrue="1">
      <formula>"НЕРАВНЕНИЕ!"</formula>
    </cfRule>
  </conditionalFormatting>
  <conditionalFormatting sqref="L145:L146 N145:N146">
    <cfRule type="cellIs" priority="88" dxfId="113" operator="equal" stopIfTrue="1">
      <formula>"НЕРАВНЕНИЕ!"</formula>
    </cfRule>
  </conditionalFormatting>
  <conditionalFormatting sqref="F148:G149">
    <cfRule type="cellIs" priority="86" dxfId="113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13" operator="equal" stopIfTrue="1">
      <formula>"НЕРАВНЕНИЕ !"</formula>
    </cfRule>
  </conditionalFormatting>
  <conditionalFormatting sqref="L148:L149 N148:N149">
    <cfRule type="cellIs" priority="84" dxfId="113" operator="equal" stopIfTrue="1">
      <formula>"НЕРАВНЕНИЕ !"</formula>
    </cfRule>
  </conditionalFormatting>
  <conditionalFormatting sqref="L148:L149 O148:O149 F148:G149 I148:J149">
    <cfRule type="cellIs" priority="83" dxfId="113" operator="notEqual">
      <formula>0</formula>
    </cfRule>
  </conditionalFormatting>
  <conditionalFormatting sqref="L84">
    <cfRule type="cellIs" priority="76" dxfId="110" operator="notEqual" stopIfTrue="1">
      <formula>0</formula>
    </cfRule>
  </conditionalFormatting>
  <conditionalFormatting sqref="O84">
    <cfRule type="cellIs" priority="75" dxfId="110" operator="notEqual" stopIfTrue="1">
      <formula>0</formula>
    </cfRule>
  </conditionalFormatting>
  <conditionalFormatting sqref="L135:L141">
    <cfRule type="cellIs" priority="80" dxfId="110" operator="notEqual" stopIfTrue="1">
      <formula>0</formula>
    </cfRule>
  </conditionalFormatting>
  <conditionalFormatting sqref="O135:O141">
    <cfRule type="cellIs" priority="79" dxfId="110" operator="notEqual" stopIfTrue="1">
      <formula>0</formula>
    </cfRule>
  </conditionalFormatting>
  <conditionalFormatting sqref="F151">
    <cfRule type="cellIs" priority="72" dxfId="115" operator="equal">
      <formula>0</formula>
    </cfRule>
  </conditionalFormatting>
  <conditionalFormatting sqref="G151">
    <cfRule type="cellIs" priority="67" dxfId="115" operator="equal">
      <formula>0</formula>
    </cfRule>
  </conditionalFormatting>
  <conditionalFormatting sqref="I151">
    <cfRule type="cellIs" priority="66" dxfId="115" operator="equal">
      <formula>0</formula>
    </cfRule>
  </conditionalFormatting>
  <conditionalFormatting sqref="J151">
    <cfRule type="cellIs" priority="65" dxfId="115" operator="equal">
      <formula>0</formula>
    </cfRule>
  </conditionalFormatting>
  <conditionalFormatting sqref="L151">
    <cfRule type="cellIs" priority="64" dxfId="115" operator="equal">
      <formula>0</formula>
    </cfRule>
  </conditionalFormatting>
  <conditionalFormatting sqref="O151">
    <cfRule type="cellIs" priority="63" dxfId="115" operator="equal">
      <formula>0</formula>
    </cfRule>
  </conditionalFormatting>
  <conditionalFormatting sqref="M135:M141 M84">
    <cfRule type="cellIs" priority="51" dxfId="110" operator="notEqual" stopIfTrue="1">
      <formula>0</formula>
    </cfRule>
  </conditionalFormatting>
  <conditionalFormatting sqref="M145:M146">
    <cfRule type="cellIs" priority="50" dxfId="113" operator="equal" stopIfTrue="1">
      <formula>"НЕРАВНЕНИЕ!"</formula>
    </cfRule>
  </conditionalFormatting>
  <conditionalFormatting sqref="M148:M149">
    <cfRule type="cellIs" priority="49" dxfId="113" operator="equal" stopIfTrue="1">
      <formula>"НЕРАВНЕНИЕ !"</formula>
    </cfRule>
  </conditionalFormatting>
  <conditionalFormatting sqref="M148:M149">
    <cfRule type="cellIs" priority="48" dxfId="113" operator="notEqual">
      <formula>0</formula>
    </cfRule>
  </conditionalFormatting>
  <conditionalFormatting sqref="M151">
    <cfRule type="cellIs" priority="47" dxfId="115" operator="equal">
      <formula>0</formula>
    </cfRule>
  </conditionalFormatting>
  <conditionalFormatting sqref="P135:P141 P84">
    <cfRule type="cellIs" priority="45" dxfId="110" operator="notEqual" stopIfTrue="1">
      <formula>0</formula>
    </cfRule>
  </conditionalFormatting>
  <conditionalFormatting sqref="P145:P146">
    <cfRule type="cellIs" priority="44" dxfId="113" operator="equal" stopIfTrue="1">
      <formula>"НЕРАВНЕНИЕ!"</formula>
    </cfRule>
  </conditionalFormatting>
  <conditionalFormatting sqref="P148:P149">
    <cfRule type="cellIs" priority="43" dxfId="113" operator="equal" stopIfTrue="1">
      <formula>"НЕРАВНЕНИЕ !"</formula>
    </cfRule>
  </conditionalFormatting>
  <conditionalFormatting sqref="P148:P149">
    <cfRule type="cellIs" priority="42" dxfId="113" operator="notEqual">
      <formula>0</formula>
    </cfRule>
  </conditionalFormatting>
  <conditionalFormatting sqref="P151">
    <cfRule type="cellIs" priority="41" dxfId="115" operator="equal">
      <formula>0</formula>
    </cfRule>
  </conditionalFormatting>
  <conditionalFormatting sqref="L142">
    <cfRule type="cellIs" priority="39" dxfId="110" operator="notEqual" stopIfTrue="1">
      <formula>0</formula>
    </cfRule>
  </conditionalFormatting>
  <conditionalFormatting sqref="O142">
    <cfRule type="cellIs" priority="38" dxfId="110" operator="notEqual" stopIfTrue="1">
      <formula>0</formula>
    </cfRule>
  </conditionalFormatting>
  <conditionalFormatting sqref="M142">
    <cfRule type="cellIs" priority="37" dxfId="110" operator="notEqual" stopIfTrue="1">
      <formula>0</formula>
    </cfRule>
  </conditionalFormatting>
  <conditionalFormatting sqref="P142">
    <cfRule type="cellIs" priority="34" dxfId="110" operator="notEqual" stopIfTrue="1">
      <formula>0</formula>
    </cfRule>
  </conditionalFormatting>
  <conditionalFormatting sqref="B1">
    <cfRule type="cellIs" priority="33" dxfId="114" operator="equal" stopIfTrue="1">
      <formula>0</formula>
    </cfRule>
  </conditionalFormatting>
  <conditionalFormatting sqref="B3">
    <cfRule type="cellIs" priority="32" dxfId="114" operator="equal" stopIfTrue="1">
      <formula>0</formula>
    </cfRule>
  </conditionalFormatting>
  <conditionalFormatting sqref="G2:H2">
    <cfRule type="cellIs" priority="30" dxfId="113" operator="equal">
      <formula>"отчетено НЕРАВНЕНИЕ в таблица 'Status'!"</formula>
    </cfRule>
    <cfRule type="cellIs" priority="31" dxfId="115" operator="equal">
      <formula>0</formula>
    </cfRule>
  </conditionalFormatting>
  <conditionalFormatting sqref="J2">
    <cfRule type="cellIs" priority="29" dxfId="113" operator="notEqual">
      <formula>0</formula>
    </cfRule>
  </conditionalFormatting>
  <conditionalFormatting sqref="M2:N2">
    <cfRule type="cellIs" priority="28" dxfId="113" operator="notEqual">
      <formula>0</formula>
    </cfRule>
  </conditionalFormatting>
  <conditionalFormatting sqref="H1">
    <cfRule type="cellIs" priority="26" dxfId="113" operator="equal">
      <formula>"отчетено НЕРАВНЕНИЕ в таблица 'Status'!"</formula>
    </cfRule>
    <cfRule type="cellIs" priority="27" dxfId="115" operator="equal">
      <formula>0</formula>
    </cfRule>
  </conditionalFormatting>
  <conditionalFormatting sqref="K1">
    <cfRule type="cellIs" priority="25" dxfId="113" operator="notEqual">
      <formula>0</formula>
    </cfRule>
  </conditionalFormatting>
  <conditionalFormatting sqref="M1">
    <cfRule type="cellIs" priority="24" dxfId="114" operator="equal" stopIfTrue="1">
      <formula>0</formula>
    </cfRule>
  </conditionalFormatting>
  <conditionalFormatting sqref="N1">
    <cfRule type="cellIs" priority="23" dxfId="113" operator="notEqual">
      <formula>0</formula>
    </cfRule>
  </conditionalFormatting>
  <conditionalFormatting sqref="P1">
    <cfRule type="cellIs" priority="22" dxfId="114" operator="equal" stopIfTrue="1">
      <formula>0</formula>
    </cfRule>
  </conditionalFormatting>
  <conditionalFormatting sqref="S1:T1">
    <cfRule type="cellIs" priority="18" dxfId="116" operator="between" stopIfTrue="1">
      <formula>1000000000000</formula>
      <formula>9999999999999990</formula>
    </cfRule>
    <cfRule type="cellIs" priority="19" dxfId="117" operator="between" stopIfTrue="1">
      <formula>10000000000</formula>
      <formula>999999999999</formula>
    </cfRule>
    <cfRule type="cellIs" priority="20" dxfId="118" operator="between" stopIfTrue="1">
      <formula>1000000</formula>
      <formula>99999999</formula>
    </cfRule>
    <cfRule type="cellIs" priority="21" dxfId="119" operator="between" stopIfTrue="1">
      <formula>100</formula>
      <formula>9999</formula>
    </cfRule>
  </conditionalFormatting>
  <conditionalFormatting sqref="B84">
    <cfRule type="cellIs" priority="11" dxfId="111" operator="notEqual" stopIfTrue="1">
      <formula>0</formula>
    </cfRule>
    <cfRule type="cellIs" priority="10" dxfId="120" operator="equal">
      <formula>0</formula>
    </cfRule>
  </conditionalFormatting>
  <conditionalFormatting sqref="B127">
    <cfRule type="expression" priority="9" dxfId="121" stopIfTrue="1">
      <formula>$M$1=9900</formula>
    </cfRule>
  </conditionalFormatting>
  <conditionalFormatting sqref="F137:G138">
    <cfRule type="cellIs" priority="8" dxfId="110" operator="notEqual" stopIfTrue="1">
      <formula>0</formula>
    </cfRule>
  </conditionalFormatting>
  <conditionalFormatting sqref="F138">
    <cfRule type="cellIs" priority="7" dxfId="113" operator="notEqual" stopIfTrue="1">
      <formula>0</formula>
    </cfRule>
  </conditionalFormatting>
  <conditionalFormatting sqref="G138">
    <cfRule type="cellIs" priority="6" dxfId="113" operator="notEqual" stopIfTrue="1">
      <formula>0</formula>
    </cfRule>
  </conditionalFormatting>
  <conditionalFormatting sqref="G138">
    <cfRule type="cellIs" priority="5" dxfId="113" operator="notEqual" stopIfTrue="1">
      <formula>0</formula>
    </cfRule>
  </conditionalFormatting>
  <conditionalFormatting sqref="G138">
    <cfRule type="cellIs" priority="4" dxfId="113" operator="notEqual" stopIfTrue="1">
      <formula>0</formula>
    </cfRule>
  </conditionalFormatting>
  <conditionalFormatting sqref="F138">
    <cfRule type="cellIs" priority="3" dxfId="113" operator="notEqual" stopIfTrue="1">
      <formula>0</formula>
    </cfRule>
  </conditionalFormatting>
  <conditionalFormatting sqref="F138">
    <cfRule type="cellIs" priority="2" dxfId="113" operator="notEqual" stopIfTrue="1">
      <formula>0</formula>
    </cfRule>
  </conditionalFormatting>
  <conditionalFormatting sqref="F138">
    <cfRule type="cellIs" priority="1" dxfId="113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DBoyadzhieva</cp:lastModifiedBy>
  <cp:lastPrinted>2019-02-22T10:20:20Z</cp:lastPrinted>
  <dcterms:created xsi:type="dcterms:W3CDTF">2015-12-01T07:17:04Z</dcterms:created>
  <dcterms:modified xsi:type="dcterms:W3CDTF">2019-02-22T10:27:40Z</dcterms:modified>
  <cp:category/>
  <cp:version/>
  <cp:contentType/>
  <cp:contentStatus/>
</cp:coreProperties>
</file>