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<sst xmlns="http://schemas.openxmlformats.org/spreadsheetml/2006/main" count="674" uniqueCount="459">
  <si>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</si>
  <si>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</si>
  <si>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</si>
  <si>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</si>
  <si>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</si>
  <si>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</si>
  <si>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</si>
  <si>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</si>
  <si>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</si>
  <si>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</si>
  <si>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</si>
  <si>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</si>
  <si>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</si>
  <si>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</si>
  <si>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</si>
  <si>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</si>
  <si>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</si>
  <si>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</si>
  <si>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</si>
  <si>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</si>
  <si>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</si>
  <si>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</si>
  <si>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</si>
  <si>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</si>
  <si>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</si>
  <si>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</si>
  <si>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</si>
  <si>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</si>
  <si>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</si>
  <si>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</si>
  <si>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</si>
  <si>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</si>
  <si>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</si>
  <si>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</si>
  <si>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</si>
  <si>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</si>
  <si>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</si>
  <si>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</si>
  <si>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</si>
  <si>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</si>
  <si>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</si>
  <si>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</si>
  <si>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</si>
  <si>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</si>
  <si>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</si>
  <si>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</si>
  <si>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</si>
  <si>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</si>
  <si>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</si>
  <si>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</si>
  <si>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</si>
  <si>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</si>
  <si>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</si>
  <si>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</si>
  <si>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</si>
  <si>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</si>
  <si>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</si>
  <si>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</si>
  <si>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</si>
  <si>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</si>
  <si>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</si>
  <si>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</si>
  <si>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</si>
  <si>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</si>
  <si>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</si>
  <si>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</si>
  <si>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</si>
  <si>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</si>
  <si>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</si>
  <si>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</si>
  <si>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</si>
  <si>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</si>
  <si>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</si>
  <si>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</si>
  <si>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</si>
  <si>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</si>
  <si>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</si>
  <si>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</si>
  <si>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</si>
  <si>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</si>
  <si>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</si>
  <si>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</si>
  <si>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</si>
  <si>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</si>
  <si>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</si>
  <si>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</si>
  <si>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</si>
  <si>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</si>
  <si>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</si>
  <si>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</si>
  <si>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</si>
  <si>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</si>
  <si>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</si>
  <si>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</si>
  <si>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</si>
  <si>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</si>
  <si>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</si>
  <si>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</si>
  <si>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</si>
  <si>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</si>
  <si>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</si>
  <si>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</si>
  <si>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</si>
  <si>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</si>
  <si>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</si>
  <si>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</si>
  <si>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</si>
  <si>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</si>
  <si>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</si>
  <si>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</si>
  <si>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</si>
  <si>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</si>
  <si>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</si>
  <si>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</si>
  <si>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</si>
  <si>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</si>
  <si>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</si>
  <si>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</si>
  <si>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</si>
  <si>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</si>
  <si>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</si>
  <si>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</si>
  <si>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</si>
  <si>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</si>
  <si>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</si>
  <si>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</si>
  <si>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</si>
  <si>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</si>
  <si>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</si>
  <si>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</si>
  <si>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</si>
  <si>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</si>
  <si>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</si>
  <si>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</si>
  <si>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</si>
  <si>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</si>
  <si>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</si>
  <si>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</si>
  <si>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</si>
  <si>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</si>
  <si>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</si>
  <si>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</si>
  <si>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</si>
  <si>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</si>
  <si>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</si>
  <si>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</si>
  <si>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</si>
  <si>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</si>
  <si>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</si>
  <si>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</si>
  <si>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</si>
  <si>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</si>
  <si>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</si>
  <si>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</si>
  <si>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</si>
  <si>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</si>
  <si>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</si>
  <si>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</si>
  <si>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</si>
  <si>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</si>
  <si>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</si>
  <si>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</si>
  <si>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</si>
  <si>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</si>
  <si>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</si>
  <si>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</si>
  <si>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</si>
  <si>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</si>
  <si>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</si>
  <si>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</si>
  <si>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</si>
  <si>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</si>
  <si>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</si>
  <si>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</si>
  <si>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</si>
  <si>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</si>
  <si>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</si>
  <si>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</si>
  <si>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</si>
  <si>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</si>
  <si>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</si>
  <si>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</si>
  <si>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</si>
  <si>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</si>
  <si>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</si>
  <si>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</si>
  <si>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</si>
  <si>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</si>
  <si>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</si>
  <si>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</si>
  <si>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</si>
  <si>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</si>
  <si>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</si>
  <si>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</si>
  <si>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</si>
  <si>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</si>
  <si>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</si>
  <si>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</si>
  <si>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</si>
  <si>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</si>
  <si>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</si>
  <si>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</si>
  <si>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</si>
  <si>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</si>
  <si>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</si>
  <si>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</si>
  <si>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</si>
  <si>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</si>
  <si>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</si>
  <si>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</si>
  <si>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</si>
  <si>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</si>
  <si>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</si>
  <si>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</si>
  <si>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</si>
  <si>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</si>
  <si>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</si>
  <si>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</si>
  <si>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</si>
  <si>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</si>
  <si>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</si>
  <si>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</si>
  <si>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</si>
  <si>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</si>
  <si>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</si>
  <si>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</si>
  <si>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</si>
  <si>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</si>
  <si>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</si>
  <si>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</si>
  <si>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</si>
  <si>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</si>
  <si>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</si>
  <si>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</si>
  <si>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</si>
  <si>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</si>
  <si>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</si>
  <si>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</si>
  <si>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</si>
  <si>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</si>
  <si>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</si>
  <si>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</si>
  <si>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</si>
  <si>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</si>
  <si>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</si>
  <si>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</si>
  <si>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</si>
  <si>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</si>
  <si>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</si>
  <si>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</si>
  <si>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</si>
  <si>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</si>
  <si>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</si>
  <si>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</si>
  <si>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</si>
  <si>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</si>
  <si>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</si>
  <si>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</si>
  <si>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</si>
  <si>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</si>
  <si>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</si>
  <si>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</si>
  <si>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</si>
  <si>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</si>
  <si>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</si>
  <si>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</si>
  <si>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</si>
  <si>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</si>
  <si>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</si>
  <si>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</si>
  <si>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</si>
  <si>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</si>
  <si>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</si>
  <si>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</si>
  <si>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</si>
  <si>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</si>
  <si>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</si>
  <si>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</si>
  <si>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</si>
  <si>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</si>
  <si>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</si>
  <si>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</si>
  <si>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</si>
  <si>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</si>
  <si>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</si>
  <si>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</si>
  <si>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</si>
  <si>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</si>
  <si>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</si>
  <si>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</si>
  <si>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</si>
  <si>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</si>
  <si>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</si>
  <si>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</si>
  <si>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</si>
  <si>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</si>
  <si>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</si>
  <si>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</si>
  <si>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</si>
  <si>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</si>
  <si>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</si>
  <si>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</si>
  <si>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</si>
  <si>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</si>
  <si>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</si>
  <si>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</si>
  <si>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</si>
  <si>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</si>
  <si>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</si>
  <si>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</si>
  <si>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</si>
  <si>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</si>
  <si>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</si>
  <si>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</si>
  <si>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</si>
  <si>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</si>
  <si>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</si>
  <si>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</si>
  <si>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</si>
  <si>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</si>
  <si>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</si>
  <si>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</si>
  <si>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</si>
  <si>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</si>
  <si>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</si>
  <si>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</si>
  <si>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</si>
  <si>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</si>
  <si>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</si>
  <si>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</si>
  <si>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</si>
  <si>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</si>
  <si>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</si>
  <si>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</si>
  <si>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</si>
  <si>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</si>
  <si>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</si>
  <si>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</si>
  <si>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</si>
  <si>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</si>
  <si>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</si>
  <si>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</si>
  <si>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</si>
  <si>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</si>
  <si>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</si>
  <si>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</si>
  <si>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</si>
  <si>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</si>
  <si>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</si>
  <si>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</si>
  <si>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</si>
  <si>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</si>
  <si>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</si>
  <si>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</si>
  <si>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</si>
  <si>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</si>
  <si>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</si>
  <si>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</si>
  <si>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</si>
  <si>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</si>
  <si>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</si>
  <si>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</si>
  <si>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</si>
  <si>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</si>
  <si>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</si>
  <si>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</si>
  <si>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</si>
  <si>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</si>
  <si>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</si>
  <si>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</si>
  <si>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</si>
  <si>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</si>
  <si>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</si>
  <si>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</si>
  <si>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</si>
  <si>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</si>
  <si>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</si>
  <si>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</si>
  <si>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</si>
  <si>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</si>
  <si>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</si>
  <si>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</si>
  <si>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</si>
  <si>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</si>
  <si>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</si>
  <si>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</si>
  <si>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</si>
  <si>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</si>
  <si>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</si>
  <si>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</si>
  <si>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</si>
  <si>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</si>
  <si>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</si>
  <si>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</si>
  <si>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</si>
  <si>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</si>
  <si>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</si>
  <si>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</si>
  <si>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</si>
  <si>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</si>
  <si>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</si>
  <si>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</si>
  <si>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</si>
  <si>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</si>
  <si>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</si>
  <si>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</si>
  <si>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</si>
  <si>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</si>
  <si>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</si>
  <si>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</si>
  <si>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</si>
  <si>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</si>
  <si>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</si>
  <si>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</si>
  <si>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</si>
  <si>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</si>
  <si>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</si>
  <si>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</si>
  <si>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</si>
  <si>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</si>
  <si>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</si>
  <si>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</si>
  <si>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</si>
  <si>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</si>
  <si>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</si>
  <si>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</si>
  <si>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</si>
  <si>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</si>
  <si>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</si>
  <si>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</si>
  <si>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</si>
  <si>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</si>
  <si>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</si>
  <si>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</si>
  <si>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</si>
  <si>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</si>
  <si>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</si>
  <si>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</si>
  <si>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</si>
  <si>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</si>
  <si>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</si>
  <si>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</si>
  <si>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</si>
  <si>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</si>
  <si>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</si>
  <si>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</si>
  <si>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</si>
  <si>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</si>
  <si>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</si>
  <si>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</si>
  <si>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</si>
  <si>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</si>
  <si>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</si>
  <si>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</si>
  <si>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</si>
  <si>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МИНИСТЕРСКИ СЪВЕТ</t>
  </si>
  <si>
    <t>www.government.bg</t>
  </si>
  <si>
    <t>РОСИЦА БАРЪМОВА</t>
  </si>
  <si>
    <t>КРАСИМИР БОЖАНОВ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</si>
</sst>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2" applyFont="1" applyFill="1" applyAlignment="1" applyProtection="1">
      <alignment horizontal="right"/>
      <protection/>
    </xf>
    <xf numFmtId="0" fontId="151" fillId="32" borderId="0" xfId="62" applyFont="1" applyFill="1" applyBorder="1" applyAlignment="1" applyProtection="1">
      <alignment horizontal="center"/>
      <protection/>
    </xf>
    <xf numFmtId="176" fontId="152" fillId="32" borderId="0" xfId="65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3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1" fillId="37" borderId="0" xfId="57" applyFont="1" applyFill="1" applyProtection="1">
      <alignment/>
      <protection/>
    </xf>
    <xf numFmtId="0" fontId="22" fillId="37" borderId="0" xfId="57" applyFont="1" applyFill="1" applyBorder="1" applyAlignment="1">
      <alignment vertical="center"/>
      <protection/>
    </xf>
    <xf numFmtId="0" fontId="21" fillId="37" borderId="0" xfId="57" applyFont="1" applyFill="1" applyBorder="1" applyAlignment="1">
      <alignment vertical="center"/>
      <protection/>
    </xf>
    <xf numFmtId="0" fontId="21" fillId="37" borderId="0" xfId="57" applyFont="1" applyFill="1" applyBorder="1" applyAlignment="1" applyProtection="1">
      <alignment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4" fontId="21" fillId="37" borderId="0" xfId="57" applyNumberFormat="1" applyFont="1" applyFill="1" applyAlignment="1" applyProtection="1">
      <alignment vertical="center"/>
      <protection/>
    </xf>
    <xf numFmtId="4" fontId="21" fillId="0" borderId="0" xfId="57" applyNumberFormat="1" applyFont="1" applyFill="1" applyAlignment="1" applyProtection="1">
      <alignment vertical="center"/>
      <protection/>
    </xf>
    <xf numFmtId="0" fontId="21" fillId="0" borderId="0" xfId="57" applyFont="1" applyFill="1" applyBorder="1" applyAlignment="1" applyProtection="1">
      <alignment vertical="center"/>
      <protection/>
    </xf>
    <xf numFmtId="0" fontId="21" fillId="0" borderId="0" xfId="57" applyFont="1" applyFill="1" applyProtection="1">
      <alignment/>
      <protection/>
    </xf>
    <xf numFmtId="0" fontId="21" fillId="37" borderId="0" xfId="57" applyFont="1" applyFill="1">
      <alignment/>
      <protection/>
    </xf>
    <xf numFmtId="0" fontId="21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23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4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5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2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6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7" fillId="41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5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2" fillId="32" borderId="27" xfId="0" applyNumberFormat="1" applyFont="1" applyFill="1" applyBorder="1" applyAlignment="1" applyProtection="1">
      <alignment horizontal="center"/>
      <protection/>
    </xf>
    <xf numFmtId="176" fontId="12" fillId="32" borderId="27" xfId="0" applyNumberFormat="1" applyFont="1" applyFill="1" applyBorder="1" applyAlignment="1" applyProtection="1">
      <alignment horizontal="center"/>
      <protection/>
    </xf>
    <xf numFmtId="176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2" fontId="158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182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176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54" xfId="65" applyNumberFormat="1" applyFont="1" applyFill="1" applyBorder="1" applyAlignment="1" applyProtection="1">
      <alignment/>
      <protection/>
    </xf>
    <xf numFmtId="38" fontId="24" fillId="43" borderId="47" xfId="65" applyNumberFormat="1" applyFont="1" applyFill="1" applyBorder="1" applyAlignment="1" applyProtection="1">
      <alignment/>
      <protection/>
    </xf>
    <xf numFmtId="38" fontId="24" fillId="43" borderId="48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4" fillId="43" borderId="43" xfId="65" applyNumberFormat="1" applyFont="1" applyFill="1" applyBorder="1" applyAlignment="1" applyProtection="1">
      <alignment/>
      <protection/>
    </xf>
    <xf numFmtId="38" fontId="24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5" fontId="159" fillId="33" borderId="27" xfId="0" applyNumberFormat="1" applyFont="1" applyFill="1" applyBorder="1" applyAlignment="1" applyProtection="1">
      <alignment horizontal="center"/>
      <protection locked="0"/>
    </xf>
    <xf numFmtId="185" fontId="159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9" xfId="65" applyNumberFormat="1" applyFont="1" applyFill="1" applyBorder="1" applyAlignment="1" applyProtection="1">
      <alignment/>
      <protection/>
    </xf>
    <xf numFmtId="38" fontId="24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0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6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1" xfId="0" applyNumberFormat="1" applyFont="1" applyFill="1" applyBorder="1" applyAlignment="1" applyProtection="1">
      <alignment/>
      <protection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 locked="0"/>
    </xf>
    <xf numFmtId="186" fontId="4" fillId="33" borderId="74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43" borderId="70" xfId="0" applyNumberFormat="1" applyFont="1" applyFill="1" applyBorder="1" applyAlignment="1" applyProtection="1">
      <alignment/>
      <protection/>
    </xf>
    <xf numFmtId="186" fontId="4" fillId="43" borderId="70" xfId="0" applyNumberFormat="1" applyFont="1" applyFill="1" applyBorder="1" applyAlignment="1" applyProtection="1">
      <alignment/>
      <protection/>
    </xf>
    <xf numFmtId="186" fontId="3" fillId="43" borderId="72" xfId="0" applyNumberFormat="1" applyFont="1" applyFill="1" applyBorder="1" applyAlignment="1" applyProtection="1">
      <alignment/>
      <protection/>
    </xf>
    <xf numFmtId="186" fontId="4" fillId="43" borderId="72" xfId="0" applyNumberFormat="1" applyFont="1" applyFill="1" applyBorder="1" applyAlignment="1" applyProtection="1">
      <alignment/>
      <protection/>
    </xf>
    <xf numFmtId="186" fontId="3" fillId="43" borderId="73" xfId="0" applyNumberFormat="1" applyFont="1" applyFill="1" applyBorder="1" applyAlignment="1" applyProtection="1">
      <alignment/>
      <protection/>
    </xf>
    <xf numFmtId="186" fontId="4" fillId="43" borderId="73" xfId="0" applyNumberFormat="1" applyFont="1" applyFill="1" applyBorder="1" applyAlignment="1" applyProtection="1">
      <alignment/>
      <protection/>
    </xf>
    <xf numFmtId="186" fontId="3" fillId="43" borderId="74" xfId="0" applyNumberFormat="1" applyFont="1" applyFill="1" applyBorder="1" applyAlignment="1" applyProtection="1">
      <alignment/>
      <protection/>
    </xf>
    <xf numFmtId="186" fontId="4" fillId="43" borderId="74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2" fillId="43" borderId="75" xfId="0" applyNumberFormat="1" applyFont="1" applyFill="1" applyBorder="1" applyAlignment="1" applyProtection="1">
      <alignment/>
      <protection locked="0"/>
    </xf>
    <xf numFmtId="186" fontId="12" fillId="43" borderId="75" xfId="0" applyNumberFormat="1" applyFont="1" applyFill="1" applyBorder="1" applyAlignment="1" applyProtection="1">
      <alignment/>
      <protection locked="0"/>
    </xf>
    <xf numFmtId="186" fontId="32" fillId="43" borderId="73" xfId="0" applyNumberFormat="1" applyFont="1" applyFill="1" applyBorder="1" applyAlignment="1" applyProtection="1">
      <alignment/>
      <protection locked="0"/>
    </xf>
    <xf numFmtId="186" fontId="12" fillId="43" borderId="73" xfId="0" applyNumberFormat="1" applyFont="1" applyFill="1" applyBorder="1" applyAlignment="1" applyProtection="1">
      <alignment/>
      <protection locked="0"/>
    </xf>
    <xf numFmtId="186" fontId="32" fillId="43" borderId="76" xfId="0" applyNumberFormat="1" applyFont="1" applyFill="1" applyBorder="1" applyAlignment="1" applyProtection="1">
      <alignment/>
      <protection locked="0"/>
    </xf>
    <xf numFmtId="186" fontId="12" fillId="43" borderId="76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" fillId="39" borderId="77" xfId="0" applyNumberFormat="1" applyFont="1" applyFill="1" applyBorder="1" applyAlignment="1" applyProtection="1">
      <alignment/>
      <protection/>
    </xf>
    <xf numFmtId="186" fontId="4" fillId="39" borderId="77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45" borderId="10" xfId="0" applyNumberFormat="1" applyFont="1" applyFill="1" applyBorder="1" applyAlignment="1" applyProtection="1">
      <alignment/>
      <protection/>
    </xf>
    <xf numFmtId="186" fontId="4" fillId="45" borderId="10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 locked="0"/>
    </xf>
    <xf numFmtId="186" fontId="4" fillId="33" borderId="76" xfId="0" applyNumberFormat="1" applyFont="1" applyFill="1" applyBorder="1" applyAlignment="1" applyProtection="1">
      <alignment/>
      <protection locked="0"/>
    </xf>
    <xf numFmtId="186" fontId="32" fillId="43" borderId="78" xfId="0" applyNumberFormat="1" applyFont="1" applyFill="1" applyBorder="1" applyAlignment="1" applyProtection="1">
      <alignment/>
      <protection locked="0"/>
    </xf>
    <xf numFmtId="186" fontId="12" fillId="43" borderId="78" xfId="0" applyNumberFormat="1" applyFont="1" applyFill="1" applyBorder="1" applyAlignment="1" applyProtection="1">
      <alignment/>
      <protection locked="0"/>
    </xf>
    <xf numFmtId="186" fontId="3" fillId="33" borderId="74" xfId="0" applyNumberFormat="1" applyFont="1" applyFill="1" applyBorder="1" applyAlignment="1" applyProtection="1">
      <alignment/>
      <protection/>
    </xf>
    <xf numFmtId="186" fontId="4" fillId="33" borderId="74" xfId="0" applyNumberFormat="1" applyFont="1" applyFill="1" applyBorder="1" applyAlignment="1" applyProtection="1">
      <alignment/>
      <protection/>
    </xf>
    <xf numFmtId="186" fontId="4" fillId="47" borderId="77" xfId="0" applyNumberFormat="1" applyFont="1" applyFill="1" applyBorder="1" applyAlignment="1" applyProtection="1">
      <alignment/>
      <protection/>
    </xf>
    <xf numFmtId="186" fontId="3" fillId="5" borderId="77" xfId="0" applyNumberFormat="1" applyFont="1" applyFill="1" applyBorder="1" applyAlignment="1" applyProtection="1">
      <alignment/>
      <protection/>
    </xf>
    <xf numFmtId="186" fontId="4" fillId="5" borderId="77" xfId="0" applyNumberFormat="1" applyFont="1" applyFill="1" applyBorder="1" applyAlignment="1" applyProtection="1">
      <alignment/>
      <protection/>
    </xf>
    <xf numFmtId="186" fontId="3" fillId="47" borderId="77" xfId="0" applyNumberFormat="1" applyFont="1" applyFill="1" applyBorder="1" applyAlignment="1" applyProtection="1">
      <alignment/>
      <protection/>
    </xf>
    <xf numFmtId="186" fontId="3" fillId="46" borderId="74" xfId="0" applyNumberFormat="1" applyFont="1" applyFill="1" applyBorder="1" applyAlignment="1" applyProtection="1">
      <alignment/>
      <protection/>
    </xf>
    <xf numFmtId="186" fontId="4" fillId="46" borderId="74" xfId="0" applyNumberFormat="1" applyFont="1" applyFill="1" applyBorder="1" applyAlignment="1" applyProtection="1">
      <alignment/>
      <protection/>
    </xf>
    <xf numFmtId="186" fontId="3" fillId="33" borderId="79" xfId="0" applyNumberFormat="1" applyFont="1" applyFill="1" applyBorder="1" applyAlignment="1" applyProtection="1">
      <alignment/>
      <protection/>
    </xf>
    <xf numFmtId="186" fontId="4" fillId="33" borderId="79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32" fillId="43" borderId="75" xfId="0" applyNumberFormat="1" applyFont="1" applyFill="1" applyBorder="1" applyAlignment="1" applyProtection="1">
      <alignment/>
      <protection/>
    </xf>
    <xf numFmtId="186" fontId="12" fillId="43" borderId="75" xfId="0" applyNumberFormat="1" applyFont="1" applyFill="1" applyBorder="1" applyAlignment="1" applyProtection="1">
      <alignment/>
      <protection/>
    </xf>
    <xf numFmtId="186" fontId="32" fillId="43" borderId="73" xfId="0" applyNumberFormat="1" applyFont="1" applyFill="1" applyBorder="1" applyAlignment="1" applyProtection="1">
      <alignment/>
      <protection/>
    </xf>
    <xf numFmtId="186" fontId="12" fillId="43" borderId="73" xfId="0" applyNumberFormat="1" applyFont="1" applyFill="1" applyBorder="1" applyAlignment="1" applyProtection="1">
      <alignment/>
      <protection/>
    </xf>
    <xf numFmtId="186" fontId="32" fillId="43" borderId="76" xfId="0" applyNumberFormat="1" applyFont="1" applyFill="1" applyBorder="1" applyAlignment="1" applyProtection="1">
      <alignment/>
      <protection/>
    </xf>
    <xf numFmtId="186" fontId="12" fillId="43" borderId="76" xfId="0" applyNumberFormat="1" applyFont="1" applyFill="1" applyBorder="1" applyAlignment="1" applyProtection="1">
      <alignment/>
      <protection/>
    </xf>
    <xf numFmtId="186" fontId="3" fillId="33" borderId="76" xfId="0" applyNumberFormat="1" applyFont="1" applyFill="1" applyBorder="1" applyAlignment="1" applyProtection="1">
      <alignment/>
      <protection/>
    </xf>
    <xf numFmtId="186" fontId="4" fillId="33" borderId="76" xfId="0" applyNumberFormat="1" applyFont="1" applyFill="1" applyBorder="1" applyAlignment="1" applyProtection="1">
      <alignment/>
      <protection/>
    </xf>
    <xf numFmtId="186" fontId="32" fillId="43" borderId="78" xfId="0" applyNumberFormat="1" applyFont="1" applyFill="1" applyBorder="1" applyAlignment="1" applyProtection="1">
      <alignment/>
      <protection/>
    </xf>
    <xf numFmtId="186" fontId="12" fillId="43" borderId="78" xfId="0" applyNumberFormat="1" applyFont="1" applyFill="1" applyBorder="1" applyAlignment="1" applyProtection="1">
      <alignment/>
      <protection/>
    </xf>
    <xf numFmtId="0" fontId="161" fillId="48" borderId="0" xfId="0" applyFont="1" applyFill="1" applyAlignment="1" applyProtection="1" quotePrefix="1">
      <alignment horizontal="center"/>
      <protection/>
    </xf>
    <xf numFmtId="186" fontId="3" fillId="39" borderId="80" xfId="0" applyNumberFormat="1" applyFont="1" applyFill="1" applyBorder="1" applyAlignment="1" applyProtection="1">
      <alignment/>
      <protection/>
    </xf>
    <xf numFmtId="186" fontId="4" fillId="39" borderId="80" xfId="0" applyNumberFormat="1" applyFont="1" applyFill="1" applyBorder="1" applyAlignment="1" applyProtection="1">
      <alignment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4" fillId="43" borderId="42" xfId="65" applyNumberFormat="1" applyFont="1" applyFill="1" applyBorder="1" applyAlignment="1" applyProtection="1">
      <alignment horizontal="center"/>
      <protection/>
    </xf>
    <xf numFmtId="38" fontId="24" fillId="43" borderId="43" xfId="65" applyNumberFormat="1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6" fontId="5" fillId="39" borderId="66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176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2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6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3" fillId="49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3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2" borderId="82" xfId="0" applyNumberFormat="1" applyFont="1" applyFill="1" applyBorder="1" applyAlignment="1" applyProtection="1">
      <alignment/>
      <protection/>
    </xf>
    <xf numFmtId="186" fontId="3" fillId="32" borderId="83" xfId="0" applyNumberFormat="1" applyFont="1" applyFill="1" applyBorder="1" applyAlignment="1" applyProtection="1">
      <alignment/>
      <protection/>
    </xf>
    <xf numFmtId="186" fontId="4" fillId="33" borderId="84" xfId="0" applyNumberFormat="1" applyFont="1" applyFill="1" applyBorder="1" applyAlignment="1" applyProtection="1">
      <alignment/>
      <protection/>
    </xf>
    <xf numFmtId="186" fontId="4" fillId="33" borderId="90" xfId="0" applyNumberFormat="1" applyFont="1" applyFill="1" applyBorder="1" applyAlignment="1" applyProtection="1">
      <alignment/>
      <protection/>
    </xf>
    <xf numFmtId="186" fontId="4" fillId="33" borderId="86" xfId="0" applyNumberFormat="1" applyFont="1" applyFill="1" applyBorder="1" applyAlignment="1" applyProtection="1">
      <alignment/>
      <protection/>
    </xf>
    <xf numFmtId="186" fontId="4" fillId="43" borderId="84" xfId="0" applyNumberFormat="1" applyFont="1" applyFill="1" applyBorder="1" applyAlignment="1" applyProtection="1">
      <alignment/>
      <protection/>
    </xf>
    <xf numFmtId="186" fontId="3" fillId="43" borderId="85" xfId="0" applyNumberFormat="1" applyFont="1" applyFill="1" applyBorder="1" applyAlignment="1" applyProtection="1">
      <alignment/>
      <protection/>
    </xf>
    <xf numFmtId="186" fontId="4" fillId="43" borderId="90" xfId="0" applyNumberFormat="1" applyFont="1" applyFill="1" applyBorder="1" applyAlignment="1" applyProtection="1">
      <alignment/>
      <protection/>
    </xf>
    <xf numFmtId="186" fontId="3" fillId="43" borderId="91" xfId="0" applyNumberFormat="1" applyFont="1" applyFill="1" applyBorder="1" applyAlignment="1" applyProtection="1">
      <alignment/>
      <protection/>
    </xf>
    <xf numFmtId="186" fontId="4" fillId="43" borderId="88" xfId="0" applyNumberFormat="1" applyFont="1" applyFill="1" applyBorder="1" applyAlignment="1" applyProtection="1">
      <alignment/>
      <protection/>
    </xf>
    <xf numFmtId="186" fontId="3" fillId="43" borderId="92" xfId="0" applyNumberFormat="1" applyFont="1" applyFill="1" applyBorder="1" applyAlignment="1" applyProtection="1">
      <alignment/>
      <protection/>
    </xf>
    <xf numFmtId="186" fontId="4" fillId="43" borderId="89" xfId="0" applyNumberFormat="1" applyFont="1" applyFill="1" applyBorder="1" applyAlignment="1" applyProtection="1">
      <alignment/>
      <protection/>
    </xf>
    <xf numFmtId="186" fontId="3" fillId="43" borderId="93" xfId="0" applyNumberFormat="1" applyFont="1" applyFill="1" applyBorder="1" applyAlignment="1" applyProtection="1">
      <alignment/>
      <protection/>
    </xf>
    <xf numFmtId="186" fontId="12" fillId="43" borderId="94" xfId="0" applyNumberFormat="1" applyFont="1" applyFill="1" applyBorder="1" applyAlignment="1" applyProtection="1">
      <alignment/>
      <protection/>
    </xf>
    <xf numFmtId="186" fontId="12" fillId="43" borderId="88" xfId="0" applyNumberFormat="1" applyFont="1" applyFill="1" applyBorder="1" applyAlignment="1" applyProtection="1">
      <alignment/>
      <protection/>
    </xf>
    <xf numFmtId="186" fontId="12" fillId="43" borderId="95" xfId="0" applyNumberFormat="1" applyFont="1" applyFill="1" applyBorder="1" applyAlignment="1" applyProtection="1">
      <alignment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4" fillId="39" borderId="96" xfId="0" applyNumberFormat="1" applyFont="1" applyFill="1" applyBorder="1" applyAlignment="1" applyProtection="1">
      <alignment/>
      <protection/>
    </xf>
    <xf numFmtId="186" fontId="3" fillId="39" borderId="97" xfId="0" applyNumberFormat="1" applyFont="1" applyFill="1" applyBorder="1" applyAlignment="1" applyProtection="1">
      <alignment/>
      <protection/>
    </xf>
    <xf numFmtId="186" fontId="4" fillId="45" borderId="82" xfId="0" applyNumberFormat="1" applyFont="1" applyFill="1" applyBorder="1" applyAlignment="1" applyProtection="1">
      <alignment/>
      <protection/>
    </xf>
    <xf numFmtId="186" fontId="3" fillId="45" borderId="83" xfId="0" applyNumberFormat="1" applyFont="1" applyFill="1" applyBorder="1" applyAlignment="1" applyProtection="1">
      <alignment/>
      <protection/>
    </xf>
    <xf numFmtId="186" fontId="4" fillId="33" borderId="95" xfId="0" applyNumberFormat="1" applyFont="1" applyFill="1" applyBorder="1" applyAlignment="1" applyProtection="1">
      <alignment/>
      <protection/>
    </xf>
    <xf numFmtId="186" fontId="3" fillId="33" borderId="93" xfId="0" applyNumberFormat="1" applyFont="1" applyFill="1" applyBorder="1" applyAlignment="1" applyProtection="1">
      <alignment/>
      <protection/>
    </xf>
    <xf numFmtId="186" fontId="4" fillId="47" borderId="96" xfId="0" applyNumberFormat="1" applyFont="1" applyFill="1" applyBorder="1" applyAlignment="1" applyProtection="1">
      <alignment/>
      <protection/>
    </xf>
    <xf numFmtId="186" fontId="4" fillId="5" borderId="96" xfId="0" applyNumberFormat="1" applyFont="1" applyFill="1" applyBorder="1" applyAlignment="1" applyProtection="1">
      <alignment/>
      <protection/>
    </xf>
    <xf numFmtId="186" fontId="3" fillId="5" borderId="97" xfId="0" applyNumberFormat="1" applyFont="1" applyFill="1" applyBorder="1" applyAlignment="1" applyProtection="1">
      <alignment/>
      <protection/>
    </xf>
    <xf numFmtId="186" fontId="4" fillId="39" borderId="98" xfId="0" applyNumberFormat="1" applyFont="1" applyFill="1" applyBorder="1" applyAlignment="1" applyProtection="1">
      <alignment/>
      <protection/>
    </xf>
    <xf numFmtId="186" fontId="3" fillId="39" borderId="99" xfId="0" applyNumberFormat="1" applyFont="1" applyFill="1" applyBorder="1" applyAlignment="1" applyProtection="1">
      <alignment/>
      <protection/>
    </xf>
    <xf numFmtId="186" fontId="4" fillId="39" borderId="100" xfId="0" applyNumberFormat="1" applyFont="1" applyFill="1" applyBorder="1" applyAlignment="1" applyProtection="1">
      <alignment/>
      <protection/>
    </xf>
    <xf numFmtId="186" fontId="3" fillId="39" borderId="101" xfId="0" applyNumberFormat="1" applyFont="1" applyFill="1" applyBorder="1" applyAlignment="1" applyProtection="1">
      <alignment/>
      <protection/>
    </xf>
    <xf numFmtId="186" fontId="3" fillId="47" borderId="97" xfId="0" applyNumberFormat="1" applyFont="1" applyFill="1" applyBorder="1" applyAlignment="1" applyProtection="1">
      <alignment/>
      <protection/>
    </xf>
    <xf numFmtId="186" fontId="3" fillId="46" borderId="93" xfId="0" applyNumberFormat="1" applyFont="1" applyFill="1" applyBorder="1" applyAlignment="1" applyProtection="1">
      <alignment/>
      <protection/>
    </xf>
    <xf numFmtId="186" fontId="4" fillId="33" borderId="100" xfId="0" applyNumberFormat="1" applyFont="1" applyFill="1" applyBorder="1" applyAlignment="1" applyProtection="1">
      <alignment/>
      <protection/>
    </xf>
    <xf numFmtId="186" fontId="3" fillId="33" borderId="101" xfId="0" applyNumberFormat="1" applyFont="1" applyFill="1" applyBorder="1" applyAlignment="1" applyProtection="1">
      <alignment/>
      <protection/>
    </xf>
    <xf numFmtId="193" fontId="156" fillId="39" borderId="102" xfId="0" applyNumberFormat="1" applyFont="1" applyFill="1" applyBorder="1" applyAlignment="1" applyProtection="1" quotePrefix="1">
      <alignment horizontal="center"/>
      <protection/>
    </xf>
    <xf numFmtId="193" fontId="162" fillId="41" borderId="102" xfId="0" applyNumberFormat="1" applyFont="1" applyFill="1" applyBorder="1" applyAlignment="1" applyProtection="1" quotePrefix="1">
      <alignment horizontal="center"/>
      <protection/>
    </xf>
    <xf numFmtId="193" fontId="163" fillId="49" borderId="102" xfId="0" applyNumberFormat="1" applyFont="1" applyFill="1" applyBorder="1" applyAlignment="1" applyProtection="1" quotePrefix="1">
      <alignment horizontal="center"/>
      <protection/>
    </xf>
    <xf numFmtId="193" fontId="3" fillId="33" borderId="103" xfId="0" applyNumberFormat="1" applyFont="1" applyFill="1" applyBorder="1" applyAlignment="1" applyProtection="1" quotePrefix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8" fillId="38" borderId="105" xfId="0" applyNumberFormat="1" applyFont="1" applyFill="1" applyBorder="1" applyAlignment="1" applyProtection="1">
      <alignment horizontal="center"/>
      <protection/>
    </xf>
    <xf numFmtId="184" fontId="164" fillId="38" borderId="104" xfId="0" applyNumberFormat="1" applyFont="1" applyFill="1" applyBorder="1" applyAlignment="1" applyProtection="1">
      <alignment horizontal="center"/>
      <protection/>
    </xf>
    <xf numFmtId="184" fontId="164" fillId="38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84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6" fontId="165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32" fillId="43" borderId="108" xfId="0" applyNumberFormat="1" applyFont="1" applyFill="1" applyBorder="1" applyAlignment="1" applyProtection="1">
      <alignment/>
      <protection/>
    </xf>
    <xf numFmtId="186" fontId="32" fillId="43" borderId="92" xfId="0" applyNumberFormat="1" applyFont="1" applyFill="1" applyBorder="1" applyAlignment="1" applyProtection="1">
      <alignment/>
      <protection/>
    </xf>
    <xf numFmtId="186" fontId="32" fillId="43" borderId="109" xfId="0" applyNumberFormat="1" applyFont="1" applyFill="1" applyBorder="1" applyAlignment="1" applyProtection="1">
      <alignment/>
      <protection/>
    </xf>
    <xf numFmtId="186" fontId="3" fillId="33" borderId="109" xfId="0" applyNumberFormat="1" applyFont="1" applyFill="1" applyBorder="1" applyAlignment="1" applyProtection="1">
      <alignment/>
      <protection/>
    </xf>
    <xf numFmtId="186" fontId="12" fillId="43" borderId="110" xfId="0" applyNumberFormat="1" applyFont="1" applyFill="1" applyBorder="1" applyAlignment="1" applyProtection="1">
      <alignment/>
      <protection/>
    </xf>
    <xf numFmtId="186" fontId="32" fillId="43" borderId="111" xfId="0" applyNumberFormat="1" applyFont="1" applyFill="1" applyBorder="1" applyAlignment="1" applyProtection="1">
      <alignment/>
      <protection/>
    </xf>
    <xf numFmtId="186" fontId="12" fillId="43" borderId="110" xfId="60" applyNumberFormat="1" applyFont="1" applyFill="1" applyBorder="1" applyAlignment="1" applyProtection="1">
      <alignment/>
      <protection/>
    </xf>
    <xf numFmtId="0" fontId="166" fillId="48" borderId="0" xfId="61" applyFont="1" applyFill="1" applyBorder="1" applyAlignment="1" applyProtection="1">
      <alignment horizontal="center"/>
      <protection/>
    </xf>
    <xf numFmtId="176" fontId="165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7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7" fillId="35" borderId="0" xfId="64" applyFont="1" applyFill="1" applyBorder="1" applyAlignment="1" applyProtection="1">
      <alignment/>
      <protection/>
    </xf>
    <xf numFmtId="0" fontId="166" fillId="33" borderId="0" xfId="61" applyFont="1" applyFill="1" applyBorder="1" applyAlignment="1" applyProtection="1">
      <alignment horizontal="center"/>
      <protection/>
    </xf>
    <xf numFmtId="174" fontId="57" fillId="50" borderId="27" xfId="64" applyNumberFormat="1" applyFont="1" applyFill="1" applyBorder="1" applyAlignment="1" applyProtection="1">
      <alignment horizontal="center" vertical="center"/>
      <protection locked="0"/>
    </xf>
    <xf numFmtId="176" fontId="150" fillId="32" borderId="0" xfId="65" applyNumberFormat="1" applyFont="1" applyFill="1" applyAlignment="1" applyProtection="1">
      <alignment/>
      <protection/>
    </xf>
    <xf numFmtId="0" fontId="153" fillId="35" borderId="0" xfId="64" applyFont="1" applyFill="1" applyBorder="1" applyProtection="1">
      <alignment/>
      <protection/>
    </xf>
    <xf numFmtId="0" fontId="168" fillId="35" borderId="0" xfId="64" applyFont="1" applyFill="1" applyBorder="1" applyProtection="1">
      <alignment/>
      <protection/>
    </xf>
    <xf numFmtId="0" fontId="168" fillId="35" borderId="0" xfId="64" applyFont="1" applyFill="1" applyProtection="1">
      <alignment/>
      <protection/>
    </xf>
    <xf numFmtId="182" fontId="169" fillId="49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9" fillId="36" borderId="0" xfId="64" applyFont="1" applyFill="1" applyProtection="1">
      <alignment/>
      <protection/>
    </xf>
    <xf numFmtId="174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9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70" fillId="33" borderId="27" xfId="64" applyNumberFormat="1" applyFont="1" applyFill="1" applyBorder="1" applyAlignment="1" applyProtection="1">
      <alignment horizontal="center" vertical="center"/>
      <protection/>
    </xf>
    <xf numFmtId="174" fontId="171" fillId="33" borderId="27" xfId="64" applyNumberFormat="1" applyFont="1" applyFill="1" applyBorder="1" applyAlignment="1" applyProtection="1">
      <alignment horizontal="center" vertical="center"/>
      <protection/>
    </xf>
    <xf numFmtId="0" fontId="16" fillId="33" borderId="27" xfId="64" applyNumberFormat="1" applyFont="1" applyFill="1" applyBorder="1" applyAlignment="1" applyProtection="1">
      <alignment horizontal="center" vertical="center"/>
      <protection/>
    </xf>
    <xf numFmtId="0" fontId="16" fillId="38" borderId="27" xfId="64" applyNumberFormat="1" applyFont="1" applyFill="1" applyBorder="1" applyAlignment="1" applyProtection="1">
      <alignment horizontal="center" vertical="center"/>
      <protection locked="0"/>
    </xf>
    <xf numFmtId="38" fontId="18" fillId="33" borderId="60" xfId="65" applyNumberFormat="1" applyFont="1" applyFill="1" applyBorder="1" applyAlignment="1" applyProtection="1">
      <alignment/>
      <protection/>
    </xf>
    <xf numFmtId="38" fontId="18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6" fontId="6" fillId="33" borderId="61" xfId="0" applyNumberFormat="1" applyFont="1" applyFill="1" applyBorder="1" applyAlignment="1" applyProtection="1">
      <alignment horizontal="right"/>
      <protection/>
    </xf>
    <xf numFmtId="186" fontId="6" fillId="32" borderId="61" xfId="0" applyNumberFormat="1" applyFont="1" applyFill="1" applyBorder="1" applyAlignment="1" applyProtection="1">
      <alignment horizontal="right"/>
      <protection/>
    </xf>
    <xf numFmtId="182" fontId="4" fillId="33" borderId="112" xfId="0" applyNumberFormat="1" applyFont="1" applyFill="1" applyBorder="1" applyAlignment="1" applyProtection="1" quotePrefix="1">
      <alignment horizontal="center" wrapText="1"/>
      <protection/>
    </xf>
    <xf numFmtId="186" fontId="3" fillId="46" borderId="89" xfId="0" applyNumberFormat="1" applyFont="1" applyFill="1" applyBorder="1" applyAlignment="1" applyProtection="1">
      <alignment/>
      <protection/>
    </xf>
    <xf numFmtId="176" fontId="172" fillId="33" borderId="71" xfId="0" applyNumberFormat="1" applyFont="1" applyFill="1" applyBorder="1" applyAlignment="1" applyProtection="1" quotePrefix="1">
      <alignment/>
      <protection/>
    </xf>
    <xf numFmtId="176" fontId="173" fillId="33" borderId="71" xfId="0" applyNumberFormat="1" applyFont="1" applyFill="1" applyBorder="1" applyAlignment="1" applyProtection="1" quotePrefix="1">
      <alignment/>
      <protection/>
    </xf>
    <xf numFmtId="176" fontId="172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2" fillId="33" borderId="116" xfId="0" applyNumberFormat="1" applyFont="1" applyFill="1" applyBorder="1" applyAlignment="1" applyProtection="1" quotePrefix="1">
      <alignment/>
      <protection/>
    </xf>
    <xf numFmtId="176" fontId="172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2" fillId="32" borderId="116" xfId="0" applyNumberFormat="1" applyFont="1" applyFill="1" applyBorder="1" applyAlignment="1" applyProtection="1" quotePrefix="1">
      <alignment/>
      <protection/>
    </xf>
    <xf numFmtId="176" fontId="173" fillId="32" borderId="32" xfId="0" applyNumberFormat="1" applyFont="1" applyFill="1" applyBorder="1" applyAlignment="1" applyProtection="1" quotePrefix="1">
      <alignment/>
      <protection/>
    </xf>
    <xf numFmtId="176" fontId="172" fillId="33" borderId="86" xfId="0" applyNumberFormat="1" applyFont="1" applyFill="1" applyBorder="1" applyAlignment="1" applyProtection="1" quotePrefix="1">
      <alignment/>
      <protection/>
    </xf>
    <xf numFmtId="176" fontId="173" fillId="33" borderId="87" xfId="0" applyNumberFormat="1" applyFont="1" applyFill="1" applyBorder="1" applyAlignment="1" applyProtection="1" quotePrefix="1">
      <alignment/>
      <protection/>
    </xf>
    <xf numFmtId="176" fontId="173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4" fontId="37" fillId="51" borderId="118" xfId="0" applyNumberFormat="1" applyFont="1" applyFill="1" applyBorder="1" applyAlignment="1" applyProtection="1">
      <alignment horizontal="center"/>
      <protection/>
    </xf>
    <xf numFmtId="184" fontId="38" fillId="42" borderId="118" xfId="0" applyNumberFormat="1" applyFont="1" applyFill="1" applyBorder="1" applyAlignment="1" applyProtection="1">
      <alignment horizontal="center"/>
      <protection/>
    </xf>
    <xf numFmtId="184" fontId="174" fillId="51" borderId="118" xfId="0" applyNumberFormat="1" applyFont="1" applyFill="1" applyBorder="1" applyAlignment="1" applyProtection="1">
      <alignment horizontal="center"/>
      <protection/>
    </xf>
    <xf numFmtId="184" fontId="175" fillId="42" borderId="118" xfId="0" applyNumberFormat="1" applyFont="1" applyFill="1" applyBorder="1" applyAlignment="1" applyProtection="1">
      <alignment horizontal="center"/>
      <protection/>
    </xf>
    <xf numFmtId="184" fontId="37" fillId="52" borderId="118" xfId="0" applyNumberFormat="1" applyFont="1" applyFill="1" applyBorder="1" applyAlignment="1" applyProtection="1">
      <alignment horizontal="center"/>
      <protection/>
    </xf>
    <xf numFmtId="184" fontId="38" fillId="52" borderId="118" xfId="0" applyNumberFormat="1" applyFont="1" applyFill="1" applyBorder="1" applyAlignment="1" applyProtection="1">
      <alignment horizontal="center"/>
      <protection/>
    </xf>
    <xf numFmtId="184" fontId="176" fillId="52" borderId="118" xfId="0" applyNumberFormat="1" applyFont="1" applyFill="1" applyBorder="1" applyAlignment="1" applyProtection="1">
      <alignment horizontal="center"/>
      <protection/>
    </xf>
    <xf numFmtId="184" fontId="175" fillId="52" borderId="118" xfId="0" applyNumberFormat="1" applyFont="1" applyFill="1" applyBorder="1" applyAlignment="1" applyProtection="1">
      <alignment horizontal="center"/>
      <protection/>
    </xf>
    <xf numFmtId="184" fontId="37" fillId="40" borderId="118" xfId="0" applyNumberFormat="1" applyFont="1" applyFill="1" applyBorder="1" applyAlignment="1" applyProtection="1">
      <alignment horizontal="center"/>
      <protection/>
    </xf>
    <xf numFmtId="184" fontId="38" fillId="40" borderId="118" xfId="0" applyNumberFormat="1" applyFont="1" applyFill="1" applyBorder="1" applyAlignment="1" applyProtection="1">
      <alignment horizontal="center"/>
      <protection/>
    </xf>
    <xf numFmtId="184" fontId="177" fillId="40" borderId="118" xfId="0" applyNumberFormat="1" applyFont="1" applyFill="1" applyBorder="1" applyAlignment="1" applyProtection="1">
      <alignment horizontal="center"/>
      <protection/>
    </xf>
    <xf numFmtId="184" fontId="178" fillId="40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8" fillId="38" borderId="120" xfId="0" applyNumberFormat="1" applyFont="1" applyFill="1" applyBorder="1" applyAlignment="1" applyProtection="1">
      <alignment horizontal="center"/>
      <protection/>
    </xf>
    <xf numFmtId="184" fontId="164" fillId="38" borderId="119" xfId="0" applyNumberFormat="1" applyFont="1" applyFill="1" applyBorder="1" applyAlignment="1" applyProtection="1">
      <alignment horizontal="center"/>
      <protection/>
    </xf>
    <xf numFmtId="184" fontId="164" fillId="38" borderId="120" xfId="0" applyNumberFormat="1" applyFont="1" applyFill="1" applyBorder="1" applyAlignment="1" applyProtection="1">
      <alignment horizontal="center"/>
      <protection/>
    </xf>
    <xf numFmtId="176" fontId="12" fillId="32" borderId="119" xfId="0" applyNumberFormat="1" applyFont="1" applyFill="1" applyBorder="1" applyAlignment="1" applyProtection="1">
      <alignment horizontal="center"/>
      <protection/>
    </xf>
    <xf numFmtId="176" fontId="32" fillId="32" borderId="106" xfId="0" applyNumberFormat="1" applyFont="1" applyFill="1" applyBorder="1" applyAlignment="1" applyProtection="1">
      <alignment horizontal="center"/>
      <protection/>
    </xf>
    <xf numFmtId="176" fontId="12" fillId="42" borderId="120" xfId="0" applyNumberFormat="1" applyFont="1" applyFill="1" applyBorder="1" applyAlignment="1" applyProtection="1">
      <alignment horizontal="center"/>
      <protection locked="0"/>
    </xf>
    <xf numFmtId="176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79" fillId="43" borderId="42" xfId="65" applyNumberFormat="1" applyFont="1" applyFill="1" applyBorder="1" applyAlignment="1" applyProtection="1">
      <alignment/>
      <protection/>
    </xf>
    <xf numFmtId="186" fontId="4" fillId="46" borderId="71" xfId="0" applyNumberFormat="1" applyFont="1" applyFill="1" applyBorder="1" applyAlignment="1" applyProtection="1">
      <alignment/>
      <protection/>
    </xf>
    <xf numFmtId="186" fontId="3" fillId="46" borderId="71" xfId="0" applyNumberFormat="1" applyFont="1" applyFill="1" applyBorder="1" applyAlignment="1" applyProtection="1">
      <alignment/>
      <protection/>
    </xf>
    <xf numFmtId="186" fontId="4" fillId="46" borderId="86" xfId="0" applyNumberFormat="1" applyFont="1" applyFill="1" applyBorder="1" applyAlignment="1" applyProtection="1">
      <alignment/>
      <protection/>
    </xf>
    <xf numFmtId="186" fontId="3" fillId="46" borderId="87" xfId="0" applyNumberFormat="1" applyFont="1" applyFill="1" applyBorder="1" applyAlignment="1" applyProtection="1">
      <alignment/>
      <protection/>
    </xf>
    <xf numFmtId="186" fontId="12" fillId="43" borderId="82" xfId="0" applyNumberFormat="1" applyFont="1" applyFill="1" applyBorder="1" applyAlignment="1" applyProtection="1">
      <alignment/>
      <protection/>
    </xf>
    <xf numFmtId="186" fontId="32" fillId="43" borderId="83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/>
    </xf>
    <xf numFmtId="186" fontId="32" fillId="43" borderId="10" xfId="0" applyNumberFormat="1" applyFont="1" applyFill="1" applyBorder="1" applyAlignment="1" applyProtection="1">
      <alignment/>
      <protection/>
    </xf>
    <xf numFmtId="186" fontId="12" fillId="43" borderId="10" xfId="0" applyNumberFormat="1" applyFont="1" applyFill="1" applyBorder="1" applyAlignment="1" applyProtection="1">
      <alignment/>
      <protection locked="0"/>
    </xf>
    <xf numFmtId="186" fontId="32" fillId="43" borderId="10" xfId="0" applyNumberFormat="1" applyFont="1" applyFill="1" applyBorder="1" applyAlignment="1" applyProtection="1">
      <alignment/>
      <protection locked="0"/>
    </xf>
    <xf numFmtId="176" fontId="165" fillId="32" borderId="0" xfId="0" applyNumberFormat="1" applyFont="1" applyFill="1" applyBorder="1" applyAlignment="1" applyProtection="1" quotePrefix="1">
      <alignment horizontal="center"/>
      <protection/>
    </xf>
    <xf numFmtId="176" fontId="165" fillId="33" borderId="0" xfId="0" applyNumberFormat="1" applyFont="1" applyFill="1" applyBorder="1" applyAlignment="1" applyProtection="1" quotePrefix="1">
      <alignment horizontal="center"/>
      <protection/>
    </xf>
    <xf numFmtId="0" fontId="166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6" xfId="0" applyNumberFormat="1" applyFont="1" applyFill="1" applyBorder="1" applyAlignment="1" applyProtection="1">
      <alignment/>
      <protection/>
    </xf>
    <xf numFmtId="186" fontId="3" fillId="32" borderId="56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6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3" fillId="38" borderId="0" xfId="57" applyFont="1" applyFill="1" applyBorder="1" quotePrefix="1">
      <alignment/>
      <protection/>
    </xf>
    <xf numFmtId="197" fontId="24" fillId="33" borderId="0" xfId="58" applyNumberFormat="1" applyFont="1" applyFill="1" applyBorder="1" applyAlignment="1">
      <alignment/>
      <protection/>
    </xf>
    <xf numFmtId="0" fontId="17" fillId="38" borderId="13" xfId="57" applyFont="1" applyFill="1" applyBorder="1">
      <alignment/>
      <protection/>
    </xf>
    <xf numFmtId="199" fontId="24" fillId="32" borderId="69" xfId="58" applyNumberFormat="1" applyFont="1" applyFill="1" applyBorder="1" applyAlignment="1">
      <alignment/>
      <protection/>
    </xf>
    <xf numFmtId="199" fontId="24" fillId="32" borderId="18" xfId="58" applyNumberFormat="1" applyFont="1" applyFill="1" applyBorder="1" applyAlignment="1">
      <alignment/>
      <protection/>
    </xf>
    <xf numFmtId="199" fontId="24" fillId="32" borderId="21" xfId="58" applyNumberFormat="1" applyFont="1" applyFill="1" applyBorder="1" applyAlignment="1">
      <alignment/>
      <protection/>
    </xf>
    <xf numFmtId="199" fontId="24" fillId="45" borderId="69" xfId="58" applyNumberFormat="1" applyFont="1" applyFill="1" applyBorder="1" applyAlignment="1">
      <alignment/>
      <protection/>
    </xf>
    <xf numFmtId="199" fontId="24" fillId="45" borderId="18" xfId="58" applyNumberFormat="1" applyFont="1" applyFill="1" applyBorder="1" applyAlignment="1">
      <alignment/>
      <protection/>
    </xf>
    <xf numFmtId="199" fontId="24" fillId="45" borderId="21" xfId="58" applyNumberFormat="1" applyFont="1" applyFill="1" applyBorder="1" applyAlignment="1">
      <alignment/>
      <protection/>
    </xf>
    <xf numFmtId="203" fontId="24" fillId="33" borderId="0" xfId="57" applyNumberFormat="1" applyFont="1" applyFill="1" applyBorder="1" applyAlignment="1">
      <alignment/>
      <protection/>
    </xf>
    <xf numFmtId="186" fontId="4" fillId="33" borderId="126" xfId="0" applyNumberFormat="1" applyFont="1" applyFill="1" applyBorder="1" applyAlignment="1" applyProtection="1">
      <alignment/>
      <protection/>
    </xf>
    <xf numFmtId="186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2" fontId="180" fillId="39" borderId="27" xfId="0" applyNumberFormat="1" applyFont="1" applyFill="1" applyBorder="1" applyAlignment="1" applyProtection="1">
      <alignment horizontal="center"/>
      <protection/>
    </xf>
    <xf numFmtId="182" fontId="181" fillId="39" borderId="27" xfId="0" applyNumberFormat="1" applyFont="1" applyFill="1" applyBorder="1" applyAlignment="1" applyProtection="1">
      <alignment horizontal="center"/>
      <protection/>
    </xf>
    <xf numFmtId="193" fontId="156" fillId="39" borderId="27" xfId="0" applyNumberFormat="1" applyFont="1" applyFill="1" applyBorder="1" applyAlignment="1" applyProtection="1" quotePrefix="1">
      <alignment horizontal="center"/>
      <protection/>
    </xf>
    <xf numFmtId="181" fontId="157" fillId="41" borderId="27" xfId="0" applyNumberFormat="1" applyFont="1" applyFill="1" applyBorder="1" applyAlignment="1" applyProtection="1" quotePrefix="1">
      <alignment horizontal="center"/>
      <protection/>
    </xf>
    <xf numFmtId="193" fontId="162" fillId="41" borderId="27" xfId="0" applyNumberFormat="1" applyFont="1" applyFill="1" applyBorder="1" applyAlignment="1" applyProtection="1" quotePrefix="1">
      <alignment horizontal="center"/>
      <protection/>
    </xf>
    <xf numFmtId="181" fontId="162" fillId="41" borderId="27" xfId="0" applyNumberFormat="1" applyFont="1" applyFill="1" applyBorder="1" applyAlignment="1" applyProtection="1" quotePrefix="1">
      <alignment horizontal="center"/>
      <protection/>
    </xf>
    <xf numFmtId="181" fontId="169" fillId="49" borderId="27" xfId="0" applyNumberFormat="1" applyFont="1" applyFill="1" applyBorder="1" applyAlignment="1" applyProtection="1" quotePrefix="1">
      <alignment horizontal="center"/>
      <protection/>
    </xf>
    <xf numFmtId="193" fontId="163" fillId="49" borderId="27" xfId="0" applyNumberFormat="1" applyFont="1" applyFill="1" applyBorder="1" applyAlignment="1" applyProtection="1" quotePrefix="1">
      <alignment horizontal="center"/>
      <protection/>
    </xf>
    <xf numFmtId="186" fontId="4" fillId="33" borderId="27" xfId="0" applyNumberFormat="1" applyFont="1" applyFill="1" applyBorder="1" applyAlignment="1" applyProtection="1">
      <alignment/>
      <protection locked="0"/>
    </xf>
    <xf numFmtId="186" fontId="3" fillId="33" borderId="27" xfId="0" applyNumberFormat="1" applyFont="1" applyFill="1" applyBorder="1" applyAlignment="1" applyProtection="1">
      <alignment/>
      <protection locked="0"/>
    </xf>
    <xf numFmtId="38" fontId="182" fillId="48" borderId="28" xfId="65" applyNumberFormat="1" applyFont="1" applyFill="1" applyBorder="1" applyAlignment="1" applyProtection="1">
      <alignment/>
      <protection/>
    </xf>
    <xf numFmtId="186" fontId="4" fillId="54" borderId="27" xfId="0" applyNumberFormat="1" applyFont="1" applyFill="1" applyBorder="1" applyAlignment="1" applyProtection="1">
      <alignment/>
      <protection/>
    </xf>
    <xf numFmtId="186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6" fontId="4" fillId="54" borderId="128" xfId="0" applyNumberFormat="1" applyFont="1" applyFill="1" applyBorder="1" applyAlignment="1" applyProtection="1">
      <alignment/>
      <protection/>
    </xf>
    <xf numFmtId="186" fontId="3" fillId="54" borderId="129" xfId="0" applyNumberFormat="1" applyFont="1" applyFill="1" applyBorder="1" applyAlignment="1" applyProtection="1">
      <alignment/>
      <protection/>
    </xf>
    <xf numFmtId="186" fontId="4" fillId="33" borderId="128" xfId="0" applyNumberFormat="1" applyFont="1" applyFill="1" applyBorder="1" applyAlignment="1" applyProtection="1">
      <alignment/>
      <protection/>
    </xf>
    <xf numFmtId="186" fontId="3" fillId="33" borderId="129" xfId="0" applyNumberFormat="1" applyFont="1" applyFill="1" applyBorder="1" applyAlignment="1" applyProtection="1">
      <alignment/>
      <protection/>
    </xf>
    <xf numFmtId="181" fontId="4" fillId="33" borderId="119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93" fontId="3" fillId="33" borderId="107" xfId="0" applyNumberFormat="1" applyFont="1" applyFill="1" applyBorder="1" applyAlignment="1" applyProtection="1" quotePrefix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212" fontId="24" fillId="33" borderId="0" xfId="58" applyNumberFormat="1" applyFont="1" applyFill="1" applyBorder="1" applyAlignment="1">
      <alignment/>
      <protection/>
    </xf>
    <xf numFmtId="179" fontId="24" fillId="33" borderId="0" xfId="57" applyNumberFormat="1" applyFont="1" applyFill="1" applyBorder="1" applyAlignment="1">
      <alignment/>
      <protection/>
    </xf>
    <xf numFmtId="181" fontId="24" fillId="33" borderId="0" xfId="57" applyNumberFormat="1" applyFont="1" applyFill="1" applyBorder="1" applyAlignment="1">
      <alignment/>
      <protection/>
    </xf>
    <xf numFmtId="197" fontId="20" fillId="54" borderId="19" xfId="58" applyNumberFormat="1" applyFont="1" applyFill="1" applyBorder="1" applyAlignment="1">
      <alignment/>
      <protection/>
    </xf>
    <xf numFmtId="197" fontId="20" fillId="54" borderId="69" xfId="58" applyNumberFormat="1" applyFont="1" applyFill="1" applyBorder="1" applyAlignment="1">
      <alignment/>
      <protection/>
    </xf>
    <xf numFmtId="197" fontId="20" fillId="54" borderId="20" xfId="58" applyNumberFormat="1" applyFont="1" applyFill="1" applyBorder="1" applyAlignment="1">
      <alignment/>
      <protection/>
    </xf>
    <xf numFmtId="197" fontId="20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3" fillId="39" borderId="102" xfId="0" applyNumberFormat="1" applyFont="1" applyFill="1" applyBorder="1" applyAlignment="1" applyProtection="1" quotePrefix="1">
      <alignment horizontal="center"/>
      <protection/>
    </xf>
    <xf numFmtId="213" fontId="157" fillId="41" borderId="102" xfId="0" applyNumberFormat="1" applyFont="1" applyFill="1" applyBorder="1" applyAlignment="1" applyProtection="1" quotePrefix="1">
      <alignment horizontal="center"/>
      <protection/>
    </xf>
    <xf numFmtId="213" fontId="169" fillId="49" borderId="102" xfId="0" applyNumberFormat="1" applyFont="1" applyFill="1" applyBorder="1" applyAlignment="1" applyProtection="1" quotePrefix="1">
      <alignment horizontal="center"/>
      <protection/>
    </xf>
    <xf numFmtId="213" fontId="4" fillId="33" borderId="130" xfId="0" applyNumberFormat="1" applyFont="1" applyFill="1" applyBorder="1" applyAlignment="1" applyProtection="1" quotePrefix="1">
      <alignment horizontal="center"/>
      <protection/>
    </xf>
    <xf numFmtId="213" fontId="184" fillId="32" borderId="45" xfId="0" applyNumberFormat="1" applyFont="1" applyFill="1" applyBorder="1" applyAlignment="1" applyProtection="1">
      <alignment horizontal="center"/>
      <protection locked="0"/>
    </xf>
    <xf numFmtId="213" fontId="183" fillId="39" borderId="27" xfId="0" applyNumberFormat="1" applyFont="1" applyFill="1" applyBorder="1" applyAlignment="1" applyProtection="1">
      <alignment horizontal="center"/>
      <protection/>
    </xf>
    <xf numFmtId="213" fontId="157" fillId="41" borderId="27" xfId="0" applyNumberFormat="1" applyFont="1" applyFill="1" applyBorder="1" applyAlignment="1" applyProtection="1" quotePrefix="1">
      <alignment horizontal="center"/>
      <protection/>
    </xf>
    <xf numFmtId="213" fontId="169" fillId="49" borderId="27" xfId="0" applyNumberFormat="1" applyFont="1" applyFill="1" applyBorder="1" applyAlignment="1" applyProtection="1" quotePrefix="1">
      <alignment horizontal="center"/>
      <protection/>
    </xf>
    <xf numFmtId="213" fontId="4" fillId="33" borderId="120" xfId="0" applyNumberFormat="1" applyFont="1" applyFill="1" applyBorder="1" applyAlignment="1" applyProtection="1" quotePrefix="1">
      <alignment horizontal="center"/>
      <protection/>
    </xf>
    <xf numFmtId="213" fontId="185" fillId="33" borderId="45" xfId="0" applyNumberFormat="1" applyFont="1" applyFill="1" applyBorder="1" applyAlignment="1" applyProtection="1">
      <alignment horizontal="center"/>
      <protection/>
    </xf>
    <xf numFmtId="202" fontId="24" fillId="33" borderId="0" xfId="57" applyNumberFormat="1" applyFont="1" applyFill="1" applyBorder="1" applyAlignment="1">
      <alignment horizontal="center"/>
      <protection/>
    </xf>
    <xf numFmtId="181" fontId="24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178" fontId="24" fillId="32" borderId="0" xfId="57" applyNumberFormat="1" applyFont="1" applyFill="1" applyBorder="1" applyAlignment="1">
      <alignment horizontal="left"/>
      <protection/>
    </xf>
    <xf numFmtId="178" fontId="26" fillId="45" borderId="0" xfId="57" applyNumberFormat="1" applyFont="1" applyFill="1" applyBorder="1" applyAlignment="1">
      <alignment horizontal="center"/>
      <protection/>
    </xf>
    <xf numFmtId="181" fontId="26" fillId="45" borderId="0" xfId="57" applyNumberFormat="1" applyFont="1" applyFill="1" applyBorder="1" applyAlignment="1">
      <alignment horizontal="center"/>
      <protection/>
    </xf>
    <xf numFmtId="178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4" fillId="45" borderId="0" xfId="57" applyNumberFormat="1" applyFont="1" applyFill="1" applyBorder="1" applyAlignment="1">
      <alignment horizontal="center"/>
      <protection/>
    </xf>
    <xf numFmtId="181" fontId="16" fillId="33" borderId="0" xfId="57" applyNumberFormat="1" applyFont="1" applyFill="1" applyBorder="1" applyAlignment="1">
      <alignment/>
      <protection/>
    </xf>
    <xf numFmtId="0" fontId="16" fillId="38" borderId="0" xfId="57" applyFont="1" applyFill="1" applyBorder="1" quotePrefix="1">
      <alignment/>
      <protection/>
    </xf>
    <xf numFmtId="197" fontId="16" fillId="33" borderId="0" xfId="58" applyNumberFormat="1" applyFont="1" applyFill="1" applyBorder="1" applyAlignment="1">
      <alignment horizontal="left"/>
      <protection/>
    </xf>
    <xf numFmtId="0" fontId="16" fillId="32" borderId="68" xfId="57" applyFont="1" applyFill="1" applyBorder="1" quotePrefix="1">
      <alignment/>
      <protection/>
    </xf>
    <xf numFmtId="0" fontId="16" fillId="32" borderId="19" xfId="57" applyFont="1" applyFill="1" applyBorder="1" quotePrefix="1">
      <alignment/>
      <protection/>
    </xf>
    <xf numFmtId="0" fontId="16" fillId="32" borderId="17" xfId="57" applyFont="1" applyFill="1" applyBorder="1" quotePrefix="1">
      <alignment/>
      <protection/>
    </xf>
    <xf numFmtId="0" fontId="16" fillId="32" borderId="0" xfId="57" applyFont="1" applyFill="1" applyBorder="1" quotePrefix="1">
      <alignment/>
      <protection/>
    </xf>
    <xf numFmtId="0" fontId="16" fillId="32" borderId="26" xfId="57" applyFont="1" applyFill="1" applyBorder="1" quotePrefix="1">
      <alignment/>
      <protection/>
    </xf>
    <xf numFmtId="0" fontId="16" fillId="32" borderId="20" xfId="57" applyFont="1" applyFill="1" applyBorder="1" quotePrefix="1">
      <alignment/>
      <protection/>
    </xf>
    <xf numFmtId="0" fontId="16" fillId="45" borderId="68" xfId="57" applyFont="1" applyFill="1" applyBorder="1" quotePrefix="1">
      <alignment/>
      <protection/>
    </xf>
    <xf numFmtId="0" fontId="16" fillId="45" borderId="19" xfId="57" applyFont="1" applyFill="1" applyBorder="1" quotePrefix="1">
      <alignment/>
      <protection/>
    </xf>
    <xf numFmtId="0" fontId="16" fillId="45" borderId="17" xfId="57" applyFont="1" applyFill="1" applyBorder="1" quotePrefix="1">
      <alignment/>
      <protection/>
    </xf>
    <xf numFmtId="0" fontId="16" fillId="45" borderId="0" xfId="57" applyFont="1" applyFill="1" applyBorder="1" quotePrefix="1">
      <alignment/>
      <protection/>
    </xf>
    <xf numFmtId="0" fontId="16" fillId="45" borderId="26" xfId="57" applyFont="1" applyFill="1" applyBorder="1" quotePrefix="1">
      <alignment/>
      <protection/>
    </xf>
    <xf numFmtId="0" fontId="16" fillId="45" borderId="20" xfId="57" applyFont="1" applyFill="1" applyBorder="1" quotePrefix="1">
      <alignment/>
      <protection/>
    </xf>
    <xf numFmtId="197" fontId="16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80" fontId="20" fillId="32" borderId="69" xfId="57" applyNumberFormat="1" applyFont="1" applyFill="1" applyBorder="1" applyAlignment="1">
      <alignment horizontal="center"/>
      <protection/>
    </xf>
    <xf numFmtId="180" fontId="20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9" fontId="24" fillId="33" borderId="0" xfId="57" applyNumberFormat="1" applyFont="1" applyFill="1" applyBorder="1" applyAlignment="1">
      <alignment/>
      <protection/>
    </xf>
    <xf numFmtId="180" fontId="24" fillId="38" borderId="0" xfId="57" applyNumberFormat="1" applyFont="1" applyFill="1" applyBorder="1" applyAlignment="1">
      <alignment/>
      <protection/>
    </xf>
    <xf numFmtId="212" fontId="24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24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24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9" fontId="24" fillId="32" borderId="20" xfId="57" applyNumberFormat="1" applyFont="1" applyFill="1" applyBorder="1">
      <alignment/>
      <protection/>
    </xf>
    <xf numFmtId="178" fontId="24" fillId="32" borderId="20" xfId="57" applyNumberFormat="1" applyFont="1" applyFill="1" applyBorder="1" applyAlignment="1">
      <alignment horizontal="left"/>
      <protection/>
    </xf>
    <xf numFmtId="202" fontId="24" fillId="33" borderId="0" xfId="57" applyNumberFormat="1" applyFont="1" applyFill="1" applyBorder="1" applyAlignment="1">
      <alignment horizontal="center"/>
      <protection/>
    </xf>
    <xf numFmtId="204" fontId="58" fillId="32" borderId="19" xfId="58" applyNumberFormat="1" applyFont="1" applyFill="1" applyBorder="1" applyAlignment="1">
      <alignment horizontal="center"/>
      <protection/>
    </xf>
    <xf numFmtId="181" fontId="24" fillId="32" borderId="0" xfId="57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center"/>
      <protection/>
    </xf>
    <xf numFmtId="200" fontId="58" fillId="45" borderId="0" xfId="58" applyNumberFormat="1" applyFont="1" applyFill="1" applyBorder="1" applyAlignment="1">
      <alignment horizontal="center"/>
      <protection/>
    </xf>
    <xf numFmtId="205" fontId="58" fillId="32" borderId="0" xfId="58" applyNumberFormat="1" applyFont="1" applyFill="1" applyBorder="1" applyAlignment="1">
      <alignment horizontal="center"/>
      <protection/>
    </xf>
    <xf numFmtId="206" fontId="58" fillId="32" borderId="20" xfId="58" applyNumberFormat="1" applyFont="1" applyFill="1" applyBorder="1" applyAlignment="1">
      <alignment horizontal="center"/>
      <protection/>
    </xf>
    <xf numFmtId="197" fontId="24" fillId="33" borderId="0" xfId="58" applyNumberFormat="1" applyFont="1" applyFill="1" applyBorder="1" applyAlignment="1">
      <alignment horizontal="center"/>
      <protection/>
    </xf>
    <xf numFmtId="197" fontId="24" fillId="45" borderId="0" xfId="58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left"/>
      <protection/>
    </xf>
    <xf numFmtId="205" fontId="58" fillId="45" borderId="0" xfId="58" applyNumberFormat="1" applyFont="1" applyFill="1" applyBorder="1" applyAlignment="1">
      <alignment horizontal="center"/>
      <protection/>
    </xf>
    <xf numFmtId="206" fontId="58" fillId="45" borderId="20" xfId="58" applyNumberFormat="1" applyFont="1" applyFill="1" applyBorder="1" applyAlignment="1">
      <alignment horizontal="center"/>
      <protection/>
    </xf>
    <xf numFmtId="204" fontId="58" fillId="45" borderId="19" xfId="58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left"/>
      <protection/>
    </xf>
    <xf numFmtId="212" fontId="24" fillId="33" borderId="0" xfId="58" applyNumberFormat="1" applyFont="1" applyFill="1" applyBorder="1" applyAlignment="1">
      <alignment horizontal="center"/>
      <protection/>
    </xf>
    <xf numFmtId="181" fontId="24" fillId="45" borderId="0" xfId="57" applyNumberFormat="1" applyFont="1" applyFill="1" applyBorder="1" applyAlignment="1">
      <alignment horizontal="center"/>
      <protection/>
    </xf>
    <xf numFmtId="197" fontId="24" fillId="32" borderId="0" xfId="58" applyNumberFormat="1" applyFont="1" applyFill="1" applyBorder="1" applyAlignment="1">
      <alignment horizontal="center"/>
      <protection/>
    </xf>
    <xf numFmtId="199" fontId="58" fillId="45" borderId="19" xfId="58" applyNumberFormat="1" applyFont="1" applyFill="1" applyBorder="1" applyAlignment="1">
      <alignment horizontal="center"/>
      <protection/>
    </xf>
    <xf numFmtId="201" fontId="58" fillId="32" borderId="20" xfId="58" applyNumberFormat="1" applyFont="1" applyFill="1" applyBorder="1" applyAlignment="1">
      <alignment horizontal="center"/>
      <protection/>
    </xf>
    <xf numFmtId="195" fontId="8" fillId="40" borderId="132" xfId="58" applyNumberFormat="1" applyFont="1" applyFill="1" applyBorder="1" applyAlignment="1">
      <alignment horizontal="center"/>
      <protection/>
    </xf>
    <xf numFmtId="181" fontId="24" fillId="33" borderId="0" xfId="57" applyNumberFormat="1" applyFont="1" applyFill="1" applyBorder="1" applyAlignment="1">
      <alignment horizontal="center"/>
      <protection/>
    </xf>
    <xf numFmtId="179" fontId="24" fillId="45" borderId="0" xfId="57" applyNumberFormat="1" applyFont="1" applyFill="1" applyBorder="1" applyAlignment="1">
      <alignment horizontal="center"/>
      <protection/>
    </xf>
    <xf numFmtId="180" fontId="24" fillId="38" borderId="0" xfId="57" applyNumberFormat="1" applyFont="1" applyFill="1" applyBorder="1" applyAlignment="1">
      <alignment horizontal="left"/>
      <protection/>
    </xf>
    <xf numFmtId="201" fontId="58" fillId="45" borderId="20" xfId="58" applyNumberFormat="1" applyFont="1" applyFill="1" applyBorder="1" applyAlignment="1">
      <alignment horizontal="center"/>
      <protection/>
    </xf>
    <xf numFmtId="199" fontId="58" fillId="32" borderId="19" xfId="58" applyNumberFormat="1" applyFont="1" applyFill="1" applyBorder="1" applyAlignment="1">
      <alignment horizontal="center"/>
      <protection/>
    </xf>
    <xf numFmtId="200" fontId="58" fillId="32" borderId="0" xfId="58" applyNumberFormat="1" applyFont="1" applyFill="1" applyBorder="1" applyAlignment="1">
      <alignment horizontal="center"/>
      <protection/>
    </xf>
    <xf numFmtId="178" fontId="24" fillId="32" borderId="0" xfId="57" applyNumberFormat="1" applyFont="1" applyFill="1" applyBorder="1" applyAlignment="1">
      <alignment horizontal="center"/>
      <protection/>
    </xf>
    <xf numFmtId="180" fontId="24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79" fontId="24" fillId="33" borderId="0" xfId="57" applyNumberFormat="1" applyFont="1" applyFill="1" applyBorder="1" applyAlignment="1">
      <alignment horizontal="center"/>
      <protection/>
    </xf>
    <xf numFmtId="180" fontId="24" fillId="38" borderId="0" xfId="57" applyNumberFormat="1" applyFont="1" applyFill="1" applyBorder="1" applyAlignment="1">
      <alignment horizontal="center"/>
      <protection/>
    </xf>
    <xf numFmtId="0" fontId="186" fillId="55" borderId="0" xfId="63" applyFont="1" applyFill="1" applyBorder="1" applyAlignment="1">
      <alignment horizontal="center"/>
      <protection/>
    </xf>
    <xf numFmtId="210" fontId="187" fillId="55" borderId="0" xfId="63" applyNumberFormat="1" applyFont="1" applyFill="1" applyBorder="1" applyAlignment="1">
      <alignment horizontal="center"/>
      <protection/>
    </xf>
    <xf numFmtId="212" fontId="24" fillId="33" borderId="0" xfId="58" applyNumberFormat="1" applyFont="1" applyFill="1" applyBorder="1" applyAlignment="1">
      <alignment horizontal="left"/>
      <protection/>
    </xf>
    <xf numFmtId="208" fontId="188" fillId="48" borderId="43" xfId="65" applyNumberFormat="1" applyFont="1" applyFill="1" applyBorder="1" applyAlignment="1" applyProtection="1">
      <alignment horizontal="left"/>
      <protection/>
    </xf>
    <xf numFmtId="208" fontId="188" fillId="48" borderId="29" xfId="65" applyNumberFormat="1" applyFont="1" applyFill="1" applyBorder="1" applyAlignment="1" applyProtection="1">
      <alignment horizontal="left"/>
      <protection/>
    </xf>
    <xf numFmtId="0" fontId="187" fillId="55" borderId="0" xfId="57" applyFont="1" applyFill="1" applyAlignment="1" applyProtection="1" quotePrefix="1">
      <alignment horizontal="center"/>
      <protection/>
    </xf>
    <xf numFmtId="211" fontId="187" fillId="55" borderId="0" xfId="57" applyNumberFormat="1" applyFont="1" applyFill="1" applyAlignment="1" applyProtection="1" quotePrefix="1">
      <alignment horizontal="center"/>
      <protection/>
    </xf>
    <xf numFmtId="38" fontId="16" fillId="33" borderId="62" xfId="65" applyNumberFormat="1" applyFont="1" applyFill="1" applyBorder="1" applyAlignment="1" applyProtection="1">
      <alignment horizontal="center" wrapText="1"/>
      <protection/>
    </xf>
    <xf numFmtId="38" fontId="16" fillId="33" borderId="45" xfId="65" applyNumberFormat="1" applyFont="1" applyFill="1" applyBorder="1" applyAlignment="1" applyProtection="1">
      <alignment horizontal="center"/>
      <protection/>
    </xf>
    <xf numFmtId="38" fontId="16" fillId="33" borderId="46" xfId="65" applyNumberFormat="1" applyFont="1" applyFill="1" applyBorder="1" applyAlignment="1" applyProtection="1">
      <alignment horizontal="center"/>
      <protection/>
    </xf>
    <xf numFmtId="38" fontId="16" fillId="33" borderId="59" xfId="65" applyNumberFormat="1" applyFont="1" applyFill="1" applyBorder="1" applyAlignment="1" applyProtection="1">
      <alignment horizontal="center" wrapText="1"/>
      <protection/>
    </xf>
    <xf numFmtId="38" fontId="189" fillId="33" borderId="47" xfId="65" applyNumberFormat="1" applyFont="1" applyFill="1" applyBorder="1" applyAlignment="1" applyProtection="1">
      <alignment horizontal="center"/>
      <protection/>
    </xf>
    <xf numFmtId="38" fontId="189" fillId="33" borderId="48" xfId="65" applyNumberFormat="1" applyFont="1" applyFill="1" applyBorder="1" applyAlignment="1" applyProtection="1">
      <alignment horizontal="center"/>
      <protection/>
    </xf>
    <xf numFmtId="38" fontId="16" fillId="33" borderId="60" xfId="65" applyNumberFormat="1" applyFont="1" applyFill="1" applyBorder="1" applyAlignment="1" applyProtection="1">
      <alignment horizontal="center" wrapText="1"/>
      <protection/>
    </xf>
    <xf numFmtId="38" fontId="189" fillId="33" borderId="49" xfId="65" applyNumberFormat="1" applyFont="1" applyFill="1" applyBorder="1" applyAlignment="1" applyProtection="1">
      <alignment horizontal="center"/>
      <protection/>
    </xf>
    <xf numFmtId="38" fontId="189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189" fontId="150" fillId="33" borderId="28" xfId="62" applyNumberFormat="1" applyFont="1" applyFill="1" applyBorder="1" applyAlignment="1" applyProtection="1" quotePrefix="1">
      <alignment horizontal="center" vertical="center"/>
      <protection locked="0"/>
    </xf>
    <xf numFmtId="189" fontId="150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2" fillId="36" borderId="28" xfId="53" applyFill="1" applyBorder="1" applyAlignment="1" applyProtection="1">
      <alignment horizontal="center" vertical="center"/>
      <protection locked="0"/>
    </xf>
    <xf numFmtId="0" fontId="190" fillId="36" borderId="43" xfId="53" applyFont="1" applyFill="1" applyBorder="1" applyAlignment="1" applyProtection="1">
      <alignment horizontal="center" vertical="center"/>
      <protection locked="0"/>
    </xf>
    <xf numFmtId="0" fontId="190" fillId="36" borderId="29" xfId="53" applyFont="1" applyFill="1" applyBorder="1" applyAlignment="1" applyProtection="1">
      <alignment horizontal="center" vertical="center"/>
      <protection locked="0"/>
    </xf>
    <xf numFmtId="38" fontId="142" fillId="33" borderId="28" xfId="53" applyNumberFormat="1" applyFill="1" applyBorder="1" applyAlignment="1" applyProtection="1">
      <alignment horizontal="center" vertical="center"/>
      <protection locked="0"/>
    </xf>
    <xf numFmtId="38" fontId="191" fillId="33" borderId="43" xfId="53" applyNumberFormat="1" applyFont="1" applyFill="1" applyBorder="1" applyAlignment="1" applyProtection="1">
      <alignment horizontal="center" vertical="center"/>
      <protection locked="0"/>
    </xf>
    <xf numFmtId="38" fontId="191" fillId="33" borderId="29" xfId="53" applyNumberFormat="1" applyFont="1" applyFill="1" applyBorder="1" applyAlignment="1" applyProtection="1">
      <alignment horizontal="center" vertical="center"/>
      <protection locked="0"/>
    </xf>
    <xf numFmtId="0" fontId="192" fillId="32" borderId="0" xfId="60" applyFont="1" applyFill="1" applyBorder="1" applyAlignment="1" applyProtection="1">
      <alignment horizontal="center"/>
      <protection/>
    </xf>
    <xf numFmtId="187" fontId="157" fillId="33" borderId="28" xfId="60" applyNumberFormat="1" applyFont="1" applyFill="1" applyBorder="1" applyAlignment="1" applyProtection="1">
      <alignment horizontal="center"/>
      <protection/>
    </xf>
    <xf numFmtId="187" fontId="157" fillId="33" borderId="43" xfId="60" applyNumberFormat="1" applyFont="1" applyFill="1" applyBorder="1" applyAlignment="1" applyProtection="1">
      <alignment horizontal="center"/>
      <protection/>
    </xf>
    <xf numFmtId="187" fontId="157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3" fillId="32" borderId="45" xfId="57" applyFont="1" applyFill="1" applyBorder="1" applyAlignment="1" applyProtection="1" quotePrefix="1">
      <alignment horizontal="center"/>
      <protection/>
    </xf>
    <xf numFmtId="0" fontId="194" fillId="38" borderId="26" xfId="64" applyFont="1" applyFill="1" applyBorder="1" applyAlignment="1" applyProtection="1">
      <alignment horizontal="center" vertical="center" wrapText="1"/>
      <protection locked="0"/>
    </xf>
    <xf numFmtId="0" fontId="194" fillId="38" borderId="20" xfId="64" applyFont="1" applyFill="1" applyBorder="1" applyAlignment="1" applyProtection="1">
      <alignment horizontal="center" vertical="center" wrapText="1"/>
      <protection locked="0"/>
    </xf>
    <xf numFmtId="0" fontId="194" fillId="38" borderId="21" xfId="64" applyFont="1" applyFill="1" applyBorder="1" applyAlignment="1" applyProtection="1">
      <alignment horizontal="center" vertical="center" wrapText="1"/>
      <protection locked="0"/>
    </xf>
    <xf numFmtId="0" fontId="195" fillId="33" borderId="61" xfId="61" applyFont="1" applyFill="1" applyBorder="1" applyAlignment="1" applyProtection="1">
      <alignment horizontal="center"/>
      <protection/>
    </xf>
    <xf numFmtId="0" fontId="195" fillId="33" borderId="0" xfId="61" applyFont="1" applyFill="1" applyBorder="1" applyAlignment="1" applyProtection="1">
      <alignment horizontal="center"/>
      <protection/>
    </xf>
    <xf numFmtId="0" fontId="195" fillId="33" borderId="30" xfId="61" applyFont="1" applyFill="1" applyBorder="1" applyAlignment="1" applyProtection="1">
      <alignment horizontal="center"/>
      <protection/>
    </xf>
    <xf numFmtId="0" fontId="166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7" fillId="50" borderId="17" xfId="64" applyFont="1" applyFill="1" applyBorder="1" applyAlignment="1" applyProtection="1">
      <alignment horizontal="center" vertical="top"/>
      <protection/>
    </xf>
    <xf numFmtId="0" fontId="17" fillId="50" borderId="0" xfId="64" applyFont="1" applyFill="1" applyBorder="1" applyAlignment="1" applyProtection="1">
      <alignment horizontal="center" vertical="top"/>
      <protection/>
    </xf>
    <xf numFmtId="0" fontId="17" fillId="50" borderId="18" xfId="64" applyFont="1" applyFill="1" applyBorder="1" applyAlignment="1" applyProtection="1">
      <alignment horizontal="center" vertical="top"/>
      <protection/>
    </xf>
    <xf numFmtId="187" fontId="196" fillId="32" borderId="0" xfId="60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4" fillId="54" borderId="42" xfId="65" applyNumberFormat="1" applyFont="1" applyFill="1" applyBorder="1" applyAlignment="1" applyProtection="1">
      <alignment horizontal="center"/>
      <protection/>
    </xf>
    <xf numFmtId="38" fontId="24" fillId="54" borderId="43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4" xfId="65" applyNumberFormat="1" applyFont="1" applyFill="1" applyBorder="1" applyAlignment="1" applyProtection="1">
      <alignment horizontal="center"/>
      <protection/>
    </xf>
    <xf numFmtId="38" fontId="24" fillId="43" borderId="59" xfId="65" applyNumberFormat="1" applyFont="1" applyFill="1" applyBorder="1" applyAlignment="1" applyProtection="1">
      <alignment horizontal="center"/>
      <protection/>
    </xf>
    <xf numFmtId="38" fontId="24" fillId="43" borderId="47" xfId="65" applyNumberFormat="1" applyFont="1" applyFill="1" applyBorder="1" applyAlignment="1" applyProtection="1">
      <alignment horizontal="center"/>
      <protection/>
    </xf>
    <xf numFmtId="38" fontId="24" fillId="43" borderId="48" xfId="65" applyNumberFormat="1" applyFont="1" applyFill="1" applyBorder="1" applyAlignment="1" applyProtection="1">
      <alignment horizontal="center"/>
      <protection/>
    </xf>
    <xf numFmtId="38" fontId="24" fillId="43" borderId="60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0" fillId="46" borderId="65" xfId="65" applyNumberFormat="1" applyFont="1" applyFill="1" applyBorder="1" applyAlignment="1" applyProtection="1">
      <alignment horizontal="center"/>
      <protection/>
    </xf>
    <xf numFmtId="38" fontId="160" fillId="46" borderId="20" xfId="65" applyNumberFormat="1" applyFont="1" applyFill="1" applyBorder="1" applyAlignment="1" applyProtection="1">
      <alignment horizontal="center"/>
      <protection/>
    </xf>
    <xf numFmtId="38" fontId="160" fillId="46" borderId="58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79" fillId="43" borderId="42" xfId="65" applyNumberFormat="1" applyFont="1" applyFill="1" applyBorder="1" applyAlignment="1" applyProtection="1">
      <alignment horizontal="center"/>
      <protection/>
    </xf>
    <xf numFmtId="38" fontId="179" fillId="43" borderId="43" xfId="65" applyNumberFormat="1" applyFont="1" applyFill="1" applyBorder="1" applyAlignment="1" applyProtection="1">
      <alignment horizontal="center"/>
      <protection/>
    </xf>
    <xf numFmtId="38" fontId="179" fillId="43" borderId="44" xfId="65" applyNumberFormat="1" applyFont="1" applyFill="1" applyBorder="1" applyAlignment="1" applyProtection="1">
      <alignment horizontal="center"/>
      <protection/>
    </xf>
    <xf numFmtId="188" fontId="197" fillId="45" borderId="28" xfId="57" applyNumberFormat="1" applyFont="1" applyFill="1" applyBorder="1" applyAlignment="1" applyProtection="1">
      <alignment horizontal="center" vertical="center"/>
      <protection locked="0"/>
    </xf>
    <xf numFmtId="188" fontId="197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16" fillId="33" borderId="60" xfId="65" applyNumberFormat="1" applyFont="1" applyFill="1" applyBorder="1" applyAlignment="1" applyProtection="1">
      <alignment horizontal="center"/>
      <protection/>
    </xf>
    <xf numFmtId="38" fontId="16" fillId="33" borderId="49" xfId="65" applyNumberFormat="1" applyFont="1" applyFill="1" applyBorder="1" applyAlignment="1" applyProtection="1">
      <alignment horizontal="center"/>
      <protection/>
    </xf>
    <xf numFmtId="38" fontId="16" fillId="33" borderId="50" xfId="65" applyNumberFormat="1" applyFont="1" applyFill="1" applyBorder="1" applyAlignment="1" applyProtection="1">
      <alignment horizontal="center"/>
      <protection/>
    </xf>
    <xf numFmtId="209" fontId="198" fillId="32" borderId="0" xfId="0" applyNumberFormat="1" applyFont="1" applyFill="1" applyAlignment="1" applyProtection="1">
      <alignment horizontal="center"/>
      <protection/>
    </xf>
    <xf numFmtId="209" fontId="198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9" fontId="8" fillId="33" borderId="29" xfId="62" applyNumberFormat="1" applyFont="1" applyFill="1" applyBorder="1" applyAlignment="1" applyProtection="1" quotePrefix="1">
      <alignment horizontal="center" vertical="center"/>
      <protection/>
    </xf>
    <xf numFmtId="188" fontId="197" fillId="45" borderId="28" xfId="57" applyNumberFormat="1" applyFont="1" applyFill="1" applyBorder="1" applyAlignment="1" applyProtection="1">
      <alignment horizontal="center" vertical="center"/>
      <protection/>
    </xf>
    <xf numFmtId="188" fontId="197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199" fillId="36" borderId="28" xfId="53" applyFont="1" applyFill="1" applyBorder="1" applyAlignment="1" applyProtection="1">
      <alignment horizontal="center" vertical="center"/>
      <protection/>
    </xf>
    <xf numFmtId="0" fontId="199" fillId="36" borderId="43" xfId="53" applyFont="1" applyFill="1" applyBorder="1" applyAlignment="1" applyProtection="1">
      <alignment horizontal="center" vertical="center"/>
      <protection/>
    </xf>
    <xf numFmtId="0" fontId="199" fillId="36" borderId="29" xfId="53" applyFont="1" applyFill="1" applyBorder="1" applyAlignment="1" applyProtection="1">
      <alignment horizontal="center" vertical="center"/>
      <protection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6" fillId="33" borderId="0" xfId="60" applyNumberFormat="1" applyFont="1" applyFill="1" applyBorder="1" applyAlignment="1" applyProtection="1">
      <alignment horizontal="center"/>
      <protection/>
    </xf>
    <xf numFmtId="0" fontId="193" fillId="33" borderId="45" xfId="57" applyFont="1" applyFill="1" applyBorder="1" applyAlignment="1" applyProtection="1" quotePrefix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187" fontId="4" fillId="32" borderId="43" xfId="60" applyNumberFormat="1" applyFont="1" applyFill="1" applyBorder="1" applyAlignment="1" applyProtection="1">
      <alignment horizontal="center"/>
      <protection/>
    </xf>
    <xf numFmtId="187" fontId="4" fillId="32" borderId="29" xfId="60" applyNumberFormat="1" applyFont="1" applyFill="1" applyBorder="1" applyAlignment="1" applyProtection="1">
      <alignment horizontal="center"/>
      <protection/>
    </xf>
    <xf numFmtId="0" fontId="195" fillId="33" borderId="116" xfId="61" applyFont="1" applyFill="1" applyBorder="1" applyAlignment="1" applyProtection="1">
      <alignment horizontal="center"/>
      <protection/>
    </xf>
    <xf numFmtId="0" fontId="195" fillId="33" borderId="135" xfId="61" applyFont="1" applyFill="1" applyBorder="1" applyAlignment="1" applyProtection="1">
      <alignment horizontal="center"/>
      <protection/>
    </xf>
    <xf numFmtId="210" fontId="200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61">
        <f>+'Cash-Flow-2023-Leva'!P5</f>
        <v>2023</v>
      </c>
      <c r="M2" s="661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68">
        <f>+'Cash-Flow-2023-Leva'!P5</f>
        <v>2023</v>
      </c>
      <c r="I7" s="66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70">
        <f>+'Cash-Flow-2023-Leva'!P5</f>
        <v>2023</v>
      </c>
      <c r="G30" s="670"/>
      <c r="H30" s="670"/>
      <c r="I30" s="67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4">
        <f>+H7</f>
        <v>2023</v>
      </c>
      <c r="H37" s="644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3">
        <f>+F30-1</f>
        <v>2022</v>
      </c>
      <c r="M40" s="663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62">
        <f>+H7-1</f>
        <v>2022</v>
      </c>
      <c r="H42" s="662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49"/>
      <c r="L55" s="649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58">
        <f>+H7</f>
        <v>2023</v>
      </c>
      <c r="L56" s="658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4">
        <f>+H7</f>
        <v>2023</v>
      </c>
      <c r="J57" s="644"/>
      <c r="K57" s="611" t="s">
        <v>388</v>
      </c>
      <c r="L57" s="642">
        <f>+H7</f>
        <v>2023</v>
      </c>
      <c r="M57" s="642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66">
        <f>+H7</f>
        <v>2023</v>
      </c>
      <c r="F59" s="666"/>
      <c r="G59" s="666"/>
      <c r="H59" s="666"/>
      <c r="I59" s="666"/>
      <c r="J59" s="666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7">
        <f>+H7</f>
        <v>2023</v>
      </c>
      <c r="F60" s="667"/>
      <c r="G60" s="667"/>
      <c r="H60" s="667"/>
      <c r="I60" s="667"/>
      <c r="J60" s="667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0">
        <f>+H7</f>
        <v>2023</v>
      </c>
      <c r="F61" s="660"/>
      <c r="G61" s="660"/>
      <c r="H61" s="660"/>
      <c r="I61" s="660"/>
      <c r="J61" s="660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5">
        <f>+H7</f>
        <v>2023</v>
      </c>
      <c r="J75" s="645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49"/>
      <c r="L80" s="649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58">
        <f>+H7</f>
        <v>2023</v>
      </c>
      <c r="L81" s="658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4">
        <f>+H7</f>
        <v>2023</v>
      </c>
      <c r="J82" s="644"/>
      <c r="K82" s="611" t="s">
        <v>405</v>
      </c>
      <c r="L82" s="642">
        <f>+H7</f>
        <v>2023</v>
      </c>
      <c r="M82" s="642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43">
        <f>+H7</f>
        <v>2023</v>
      </c>
      <c r="F84" s="643"/>
      <c r="G84" s="643"/>
      <c r="H84" s="643"/>
      <c r="I84" s="643"/>
      <c r="J84" s="64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47">
        <f>+H7</f>
        <v>2023</v>
      </c>
      <c r="F85" s="647"/>
      <c r="G85" s="647"/>
      <c r="H85" s="647"/>
      <c r="I85" s="647"/>
      <c r="J85" s="647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48">
        <f>+H7</f>
        <v>2023</v>
      </c>
      <c r="F86" s="648"/>
      <c r="G86" s="648"/>
      <c r="H86" s="648"/>
      <c r="I86" s="648"/>
      <c r="J86" s="648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49"/>
      <c r="L96" s="649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50">
        <f>+H7-1</f>
        <v>2022</v>
      </c>
      <c r="L97" s="650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57">
        <f>+H7-1</f>
        <v>2022</v>
      </c>
      <c r="J98" s="657"/>
      <c r="K98" s="611" t="s">
        <v>388</v>
      </c>
      <c r="L98" s="642">
        <f>+H7</f>
        <v>2023</v>
      </c>
      <c r="M98" s="642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59">
        <f>+H7-1</f>
        <v>2022</v>
      </c>
      <c r="F100" s="659"/>
      <c r="G100" s="659"/>
      <c r="H100" s="659"/>
      <c r="I100" s="659"/>
      <c r="J100" s="659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46">
        <f>+H7-1</f>
        <v>2022</v>
      </c>
      <c r="F101" s="646"/>
      <c r="G101" s="646"/>
      <c r="H101" s="646"/>
      <c r="I101" s="646"/>
      <c r="J101" s="646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65">
        <f>+H7-1</f>
        <v>2022</v>
      </c>
      <c r="F102" s="665"/>
      <c r="G102" s="665"/>
      <c r="H102" s="665"/>
      <c r="I102" s="665"/>
      <c r="J102" s="665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5">
        <f>+H7</f>
        <v>2023</v>
      </c>
      <c r="J116" s="645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49"/>
      <c r="L121" s="649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50">
        <f>+H7-1</f>
        <v>2022</v>
      </c>
      <c r="L122" s="650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57">
        <f>+H7-1</f>
        <v>2022</v>
      </c>
      <c r="J123" s="657"/>
      <c r="K123" s="611" t="s">
        <v>405</v>
      </c>
      <c r="L123" s="642">
        <f>+H7</f>
        <v>2023</v>
      </c>
      <c r="M123" s="642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54">
        <f>+H7-1</f>
        <v>2022</v>
      </c>
      <c r="F125" s="654"/>
      <c r="G125" s="654"/>
      <c r="H125" s="654"/>
      <c r="I125" s="654"/>
      <c r="J125" s="654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52">
        <f>+H7-1</f>
        <v>2022</v>
      </c>
      <c r="F126" s="652"/>
      <c r="G126" s="652"/>
      <c r="H126" s="652"/>
      <c r="I126" s="652"/>
      <c r="J126" s="652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53">
        <f>+H7-1</f>
        <v>2022</v>
      </c>
      <c r="F127" s="653"/>
      <c r="G127" s="653"/>
      <c r="H127" s="653"/>
      <c r="I127" s="653"/>
      <c r="J127" s="653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56">
        <f>+H7</f>
        <v>2023</v>
      </c>
      <c r="K136" s="656"/>
      <c r="L136" s="656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4">
        <f>+H7</f>
        <v>2023</v>
      </c>
      <c r="I137" s="644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5">
        <f>+H7</f>
        <v>2023</v>
      </c>
      <c r="J138" s="645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76">
        <f>+H7</f>
        <v>2023</v>
      </c>
      <c r="K144" s="676"/>
      <c r="L144" s="676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4">
        <f>+H14</f>
        <v>2023</v>
      </c>
      <c r="J145" s="644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51">
        <f>+H7</f>
        <v>2023</v>
      </c>
      <c r="L160" s="651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74" t="s">
        <v>331</v>
      </c>
      <c r="G164" s="674"/>
      <c r="H164" s="674"/>
      <c r="I164" s="674"/>
      <c r="J164" s="674"/>
      <c r="K164" s="674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74" t="s">
        <v>332</v>
      </c>
      <c r="G165" s="674"/>
      <c r="H165" s="674"/>
      <c r="I165" s="674"/>
      <c r="J165" s="674"/>
      <c r="K165" s="674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71">
        <f>+'Cash-Flow-2023-Leva'!P5</f>
        <v>2023</v>
      </c>
      <c r="G167" s="671"/>
      <c r="H167" s="671"/>
      <c r="I167" s="67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3">
        <f>+'Cash-Flow-2023-Leva'!P5</f>
        <v>2023</v>
      </c>
      <c r="H168" s="673"/>
      <c r="I168" s="673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72">
        <f>+'Cash-Flow-2023-Leva'!P5</f>
        <v>2023</v>
      </c>
      <c r="G169" s="672"/>
      <c r="H169" s="672"/>
      <c r="I169" s="672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72">
        <f>+'Cash-Flow-2023-Leva'!P5</f>
        <v>2023</v>
      </c>
      <c r="F185" s="672"/>
      <c r="G185" s="672"/>
      <c r="H185" s="672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55">
        <f>+'Cash-Flow-2023-Leva'!P5</f>
        <v>2023</v>
      </c>
      <c r="L186" s="655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64">
        <f>H7</f>
        <v>2023</v>
      </c>
      <c r="E189" s="664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74" t="s">
        <v>331</v>
      </c>
      <c r="G191" s="674"/>
      <c r="H191" s="674"/>
      <c r="I191" s="674"/>
      <c r="J191" s="674"/>
      <c r="K191" s="674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75">
        <f>+L2</f>
        <v>2023</v>
      </c>
      <c r="G192" s="675"/>
      <c r="H192" s="675"/>
      <c r="I192" s="675"/>
      <c r="J192" s="675"/>
      <c r="K192" s="675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69">
        <f>+'Cash-Flow-2023-Leva'!P5</f>
        <v>2023</v>
      </c>
      <c r="I194" s="669"/>
      <c r="J194" s="66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90" zoomScaleNormal="9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1" sqref="F8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11" t="s">
        <v>455</v>
      </c>
      <c r="C1" s="712"/>
      <c r="D1" s="712"/>
      <c r="E1" s="712"/>
      <c r="F1" s="713"/>
      <c r="G1" s="433" t="s">
        <v>244</v>
      </c>
      <c r="H1" s="426"/>
      <c r="I1" s="699">
        <v>695025</v>
      </c>
      <c r="J1" s="700"/>
      <c r="K1" s="427"/>
      <c r="L1" s="435" t="s">
        <v>245</v>
      </c>
      <c r="M1" s="431">
        <v>300</v>
      </c>
      <c r="N1" s="427"/>
      <c r="O1" s="435" t="s">
        <v>239</v>
      </c>
      <c r="P1" s="452"/>
      <c r="Q1" s="428"/>
      <c r="R1" s="344" t="s">
        <v>277</v>
      </c>
      <c r="S1" s="784"/>
      <c r="T1" s="785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31" t="s">
        <v>240</v>
      </c>
      <c r="C2" s="732"/>
      <c r="D2" s="732"/>
      <c r="E2" s="732"/>
      <c r="F2" s="733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15" t="s">
        <v>250</v>
      </c>
      <c r="C3" s="716"/>
      <c r="D3" s="716"/>
      <c r="E3" s="716"/>
      <c r="F3" s="717"/>
      <c r="G3" s="434" t="s">
        <v>238</v>
      </c>
      <c r="H3" s="704" t="s">
        <v>456</v>
      </c>
      <c r="I3" s="705"/>
      <c r="J3" s="705"/>
      <c r="K3" s="706"/>
      <c r="L3" s="28" t="s">
        <v>246</v>
      </c>
      <c r="M3" s="701"/>
      <c r="N3" s="702"/>
      <c r="O3" s="702"/>
      <c r="P3" s="703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679">
        <f>+IF(+O174&gt;0,"НЕРАВНЕНИЕ: Касов отчет - Баланс!",0)</f>
        <v>0</v>
      </c>
      <c r="C5" s="679"/>
      <c r="D5" s="735" t="s">
        <v>243</v>
      </c>
      <c r="E5" s="735"/>
      <c r="F5" s="735"/>
      <c r="G5" s="735"/>
      <c r="H5" s="735"/>
      <c r="I5" s="735"/>
      <c r="J5" s="735"/>
      <c r="K5" s="735"/>
      <c r="L5" s="735"/>
      <c r="M5" s="20"/>
      <c r="N5" s="20"/>
      <c r="O5" s="24" t="s">
        <v>17</v>
      </c>
      <c r="P5" s="450">
        <v>2023</v>
      </c>
      <c r="Q5" s="20"/>
      <c r="R5" s="707" t="s">
        <v>180</v>
      </c>
      <c r="S5" s="707"/>
      <c r="T5" s="707"/>
      <c r="U5" s="15"/>
    </row>
    <row r="6" spans="1:28" s="3" customFormat="1" ht="17.25" customHeight="1">
      <c r="A6" s="15"/>
      <c r="B6" s="680">
        <f>+IF(B5=0,0,P5)</f>
        <v>0</v>
      </c>
      <c r="C6" s="680"/>
      <c r="D6" s="735" t="s">
        <v>242</v>
      </c>
      <c r="E6" s="735"/>
      <c r="F6" s="735"/>
      <c r="G6" s="735"/>
      <c r="H6" s="735"/>
      <c r="I6" s="735"/>
      <c r="J6" s="735"/>
      <c r="K6" s="735"/>
      <c r="L6" s="735"/>
      <c r="M6" s="21"/>
      <c r="N6" s="16"/>
      <c r="O6" s="15"/>
      <c r="P6" s="15"/>
      <c r="Q6" s="13"/>
      <c r="R6" s="734">
        <f>+P4</f>
        <v>0</v>
      </c>
      <c r="S6" s="734"/>
      <c r="T6" s="734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14" t="str">
        <f>+B1</f>
        <v>МИНИСТЕРСКИ СЪВЕТ</v>
      </c>
      <c r="E8" s="714"/>
      <c r="F8" s="714"/>
      <c r="G8" s="714"/>
      <c r="H8" s="714"/>
      <c r="I8" s="714"/>
      <c r="J8" s="714"/>
      <c r="K8" s="714"/>
      <c r="L8" s="714"/>
      <c r="M8" s="432" t="s">
        <v>247</v>
      </c>
      <c r="N8" s="16"/>
      <c r="O8" s="592" t="s">
        <v>346</v>
      </c>
      <c r="P8" s="290" t="s">
        <v>46</v>
      </c>
      <c r="Q8" s="13"/>
      <c r="R8" s="708">
        <f>+P5</f>
        <v>2023</v>
      </c>
      <c r="S8" s="709"/>
      <c r="T8" s="710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22" t="s">
        <v>0</v>
      </c>
      <c r="S10" s="723"/>
      <c r="T10" s="7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31.03.2023 г.</v>
      </c>
      <c r="G11" s="396">
        <f>+P5-1</f>
        <v>2022</v>
      </c>
      <c r="H11" s="15"/>
      <c r="I11" s="589" t="str">
        <f>+O8</f>
        <v>31.03.2023 г.</v>
      </c>
      <c r="J11" s="397">
        <f>+P5-1</f>
        <v>2022</v>
      </c>
      <c r="K11" s="16"/>
      <c r="L11" s="590" t="str">
        <f>+O8</f>
        <v>31.03.2023 г.</v>
      </c>
      <c r="M11" s="398">
        <f>+P5-1</f>
        <v>2022</v>
      </c>
      <c r="N11" s="16"/>
      <c r="O11" s="591" t="str">
        <f>+O8</f>
        <v>31.03.2023 г.</v>
      </c>
      <c r="P11" s="399">
        <f>+P5-1</f>
        <v>2022</v>
      </c>
      <c r="Q11" s="352"/>
      <c r="R11" s="725" t="s">
        <v>181</v>
      </c>
      <c r="S11" s="726"/>
      <c r="T11" s="7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28" t="s">
        <v>149</v>
      </c>
      <c r="S15" s="729"/>
      <c r="T15" s="730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>
        <v>274770</v>
      </c>
      <c r="G16" s="233">
        <v>1000865</v>
      </c>
      <c r="H16" s="15"/>
      <c r="I16" s="234"/>
      <c r="J16" s="233"/>
      <c r="K16" s="227"/>
      <c r="L16" s="234"/>
      <c r="M16" s="233"/>
      <c r="N16" s="227"/>
      <c r="O16" s="361">
        <f t="shared" si="0"/>
        <v>274770</v>
      </c>
      <c r="P16" s="384">
        <f t="shared" si="0"/>
        <v>1000865</v>
      </c>
      <c r="Q16" s="31"/>
      <c r="R16" s="736" t="s">
        <v>284</v>
      </c>
      <c r="S16" s="737"/>
      <c r="T16" s="738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42" t="s">
        <v>279</v>
      </c>
      <c r="S17" s="743"/>
      <c r="T17" s="74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-16387</v>
      </c>
      <c r="G18" s="229">
        <v>291007</v>
      </c>
      <c r="H18" s="15"/>
      <c r="I18" s="230"/>
      <c r="J18" s="229"/>
      <c r="K18" s="227"/>
      <c r="L18" s="230"/>
      <c r="M18" s="229"/>
      <c r="N18" s="227"/>
      <c r="O18" s="365">
        <f t="shared" si="0"/>
        <v>-16387</v>
      </c>
      <c r="P18" s="378">
        <f t="shared" si="0"/>
        <v>291007</v>
      </c>
      <c r="Q18" s="31"/>
      <c r="R18" s="728" t="s">
        <v>150</v>
      </c>
      <c r="S18" s="729"/>
      <c r="T18" s="730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716219</v>
      </c>
      <c r="G19" s="231">
        <v>2853353</v>
      </c>
      <c r="H19" s="15"/>
      <c r="I19" s="232"/>
      <c r="J19" s="231"/>
      <c r="K19" s="227"/>
      <c r="L19" s="232"/>
      <c r="M19" s="231"/>
      <c r="N19" s="227"/>
      <c r="O19" s="360">
        <f t="shared" si="0"/>
        <v>716219</v>
      </c>
      <c r="P19" s="412">
        <f t="shared" si="0"/>
        <v>2853353</v>
      </c>
      <c r="Q19" s="31"/>
      <c r="R19" s="739" t="s">
        <v>151</v>
      </c>
      <c r="S19" s="740"/>
      <c r="T19" s="741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673098</v>
      </c>
      <c r="G20" s="231">
        <v>2600938</v>
      </c>
      <c r="H20" s="15"/>
      <c r="I20" s="232"/>
      <c r="J20" s="231"/>
      <c r="K20" s="227"/>
      <c r="L20" s="232"/>
      <c r="M20" s="231"/>
      <c r="N20" s="227"/>
      <c r="O20" s="360">
        <f t="shared" si="0"/>
        <v>673098</v>
      </c>
      <c r="P20" s="412">
        <f t="shared" si="0"/>
        <v>2600938</v>
      </c>
      <c r="Q20" s="31"/>
      <c r="R20" s="739" t="s">
        <v>152</v>
      </c>
      <c r="S20" s="740"/>
      <c r="T20" s="741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>
        <v>68936</v>
      </c>
      <c r="G21" s="231">
        <v>1651851</v>
      </c>
      <c r="H21" s="15"/>
      <c r="I21" s="232"/>
      <c r="J21" s="231"/>
      <c r="K21" s="227"/>
      <c r="L21" s="232"/>
      <c r="M21" s="231"/>
      <c r="N21" s="227"/>
      <c r="O21" s="360">
        <f t="shared" si="0"/>
        <v>68936</v>
      </c>
      <c r="P21" s="412">
        <f t="shared" si="0"/>
        <v>1651851</v>
      </c>
      <c r="Q21" s="31"/>
      <c r="R21" s="739" t="s">
        <v>153</v>
      </c>
      <c r="S21" s="740"/>
      <c r="T21" s="741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10</v>
      </c>
      <c r="G22" s="231">
        <v>356</v>
      </c>
      <c r="H22" s="15"/>
      <c r="I22" s="232">
        <v>7</v>
      </c>
      <c r="J22" s="231">
        <v>3</v>
      </c>
      <c r="K22" s="227"/>
      <c r="L22" s="232"/>
      <c r="M22" s="231">
        <v>0</v>
      </c>
      <c r="N22" s="227"/>
      <c r="O22" s="360">
        <f t="shared" si="0"/>
        <v>17</v>
      </c>
      <c r="P22" s="412">
        <f t="shared" si="0"/>
        <v>359</v>
      </c>
      <c r="Q22" s="31"/>
      <c r="R22" s="739" t="s">
        <v>154</v>
      </c>
      <c r="S22" s="740"/>
      <c r="T22" s="741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>
        <v>0</v>
      </c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39" t="s">
        <v>155</v>
      </c>
      <c r="S23" s="740"/>
      <c r="T23" s="741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115404</v>
      </c>
      <c r="G24" s="233">
        <v>172801</v>
      </c>
      <c r="H24" s="15"/>
      <c r="I24" s="234"/>
      <c r="J24" s="233"/>
      <c r="K24" s="227"/>
      <c r="L24" s="234"/>
      <c r="M24" s="233"/>
      <c r="N24" s="227"/>
      <c r="O24" s="361">
        <f t="shared" si="0"/>
        <v>115404</v>
      </c>
      <c r="P24" s="384">
        <f t="shared" si="0"/>
        <v>172801</v>
      </c>
      <c r="Q24" s="31"/>
      <c r="R24" s="745" t="s">
        <v>280</v>
      </c>
      <c r="S24" s="746"/>
      <c r="T24" s="747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1832050</v>
      </c>
      <c r="G25" s="235">
        <f>+ROUND(+SUM(G15,G16,G18,G19,G20,G21,G22,G23,G24),0)</f>
        <v>8571171</v>
      </c>
      <c r="H25" s="15"/>
      <c r="I25" s="236">
        <f>+ROUND(+SUM(I15,I16,I18,I19,I20,I21,I22,I23,I24),0)</f>
        <v>7</v>
      </c>
      <c r="J25" s="235">
        <f>+ROUND(+SUM(J15,J16,J18,J19,J20,J21,J22,J23,J24),0)</f>
        <v>3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1832057</v>
      </c>
      <c r="P25" s="363">
        <f>+ROUND(+SUM(P15,P16,P18,P19,P20,P21,P22,P23,P24),0)</f>
        <v>8571174</v>
      </c>
      <c r="Q25" s="31"/>
      <c r="R25" s="748" t="s">
        <v>182</v>
      </c>
      <c r="S25" s="749"/>
      <c r="T25" s="75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>
        <v>1147278</v>
      </c>
      <c r="G27" s="229">
        <v>2948000</v>
      </c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1147278</v>
      </c>
      <c r="P27" s="378">
        <f t="shared" si="1"/>
        <v>2948000</v>
      </c>
      <c r="Q27" s="31"/>
      <c r="R27" s="728" t="s">
        <v>156</v>
      </c>
      <c r="S27" s="729"/>
      <c r="T27" s="730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268730</v>
      </c>
      <c r="G28" s="231">
        <v>1139369</v>
      </c>
      <c r="H28" s="15"/>
      <c r="I28" s="232"/>
      <c r="J28" s="231"/>
      <c r="K28" s="227"/>
      <c r="L28" s="232"/>
      <c r="M28" s="231"/>
      <c r="N28" s="227"/>
      <c r="O28" s="360">
        <f t="shared" si="1"/>
        <v>268730</v>
      </c>
      <c r="P28" s="412">
        <f t="shared" si="1"/>
        <v>1139369</v>
      </c>
      <c r="Q28" s="31"/>
      <c r="R28" s="739" t="s">
        <v>157</v>
      </c>
      <c r="S28" s="740"/>
      <c r="T28" s="741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5" t="s">
        <v>158</v>
      </c>
      <c r="S29" s="746"/>
      <c r="T29" s="74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1416008</v>
      </c>
      <c r="G30" s="235">
        <f>+ROUND(+SUM(G27:G29),0)</f>
        <v>4087369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1416008</v>
      </c>
      <c r="P30" s="363">
        <f>+ROUND(+SUM(P27:P29),0)</f>
        <v>4087369</v>
      </c>
      <c r="Q30" s="31"/>
      <c r="R30" s="748" t="s">
        <v>183</v>
      </c>
      <c r="S30" s="749"/>
      <c r="T30" s="75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-750789</v>
      </c>
      <c r="G37" s="247">
        <v>-3558901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-750789</v>
      </c>
      <c r="P37" s="363">
        <f t="shared" si="2"/>
        <v>-3558901</v>
      </c>
      <c r="Q37" s="31"/>
      <c r="R37" s="748" t="s">
        <v>184</v>
      </c>
      <c r="S37" s="749"/>
      <c r="T37" s="75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-672172</v>
      </c>
      <c r="G38" s="249">
        <v>-2702426</v>
      </c>
      <c r="H38" s="15"/>
      <c r="I38" s="250"/>
      <c r="J38" s="249"/>
      <c r="K38" s="227"/>
      <c r="L38" s="250"/>
      <c r="M38" s="249"/>
      <c r="N38" s="227"/>
      <c r="O38" s="375">
        <f t="shared" si="2"/>
        <v>-672172</v>
      </c>
      <c r="P38" s="413">
        <f t="shared" si="2"/>
        <v>-2702426</v>
      </c>
      <c r="Q38" s="31"/>
      <c r="R38" s="751" t="s">
        <v>159</v>
      </c>
      <c r="S38" s="752"/>
      <c r="T38" s="75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-60326</v>
      </c>
      <c r="G39" s="251">
        <v>-808322</v>
      </c>
      <c r="H39" s="15"/>
      <c r="I39" s="252"/>
      <c r="J39" s="251"/>
      <c r="K39" s="227"/>
      <c r="L39" s="252"/>
      <c r="M39" s="251"/>
      <c r="N39" s="227"/>
      <c r="O39" s="376">
        <f t="shared" si="2"/>
        <v>-60326</v>
      </c>
      <c r="P39" s="414">
        <f t="shared" si="2"/>
        <v>-808322</v>
      </c>
      <c r="Q39" s="31"/>
      <c r="R39" s="754" t="s">
        <v>160</v>
      </c>
      <c r="S39" s="755"/>
      <c r="T39" s="75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>
        <v>-18291</v>
      </c>
      <c r="G40" s="253">
        <v>-48153</v>
      </c>
      <c r="H40" s="15"/>
      <c r="I40" s="254"/>
      <c r="J40" s="253"/>
      <c r="K40" s="227"/>
      <c r="L40" s="254"/>
      <c r="M40" s="253"/>
      <c r="N40" s="227"/>
      <c r="O40" s="377">
        <f t="shared" si="2"/>
        <v>-18291</v>
      </c>
      <c r="P40" s="415">
        <f t="shared" si="2"/>
        <v>-48153</v>
      </c>
      <c r="Q40" s="31"/>
      <c r="R40" s="757" t="s">
        <v>161</v>
      </c>
      <c r="S40" s="758"/>
      <c r="T40" s="75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>
        <v>2722</v>
      </c>
      <c r="G42" s="247">
        <v>24855</v>
      </c>
      <c r="H42" s="15"/>
      <c r="I42" s="248"/>
      <c r="J42" s="247"/>
      <c r="K42" s="227"/>
      <c r="L42" s="248"/>
      <c r="M42" s="247"/>
      <c r="N42" s="227"/>
      <c r="O42" s="362">
        <f>+ROUND(+F42+I42+L42,0)</f>
        <v>2722</v>
      </c>
      <c r="P42" s="363">
        <f>+ROUND(+G42+J42+M42,0)</f>
        <v>24855</v>
      </c>
      <c r="Q42" s="31"/>
      <c r="R42" s="748" t="s">
        <v>185</v>
      </c>
      <c r="S42" s="749"/>
      <c r="T42" s="75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>
        <v>85227</v>
      </c>
      <c r="J44" s="229">
        <v>3105114</v>
      </c>
      <c r="K44" s="227"/>
      <c r="L44" s="230"/>
      <c r="M44" s="229"/>
      <c r="N44" s="227"/>
      <c r="O44" s="365">
        <f aca="true" t="shared" si="3" ref="O44:P47">+ROUND(+F44+I44+L44,0)</f>
        <v>85227</v>
      </c>
      <c r="P44" s="378">
        <f t="shared" si="3"/>
        <v>3105114</v>
      </c>
      <c r="Q44" s="31"/>
      <c r="R44" s="728" t="s">
        <v>162</v>
      </c>
      <c r="S44" s="729"/>
      <c r="T44" s="730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>
        <v>44734</v>
      </c>
      <c r="K45" s="227"/>
      <c r="L45" s="232"/>
      <c r="M45" s="231"/>
      <c r="N45" s="227"/>
      <c r="O45" s="360">
        <f t="shared" si="3"/>
        <v>0</v>
      </c>
      <c r="P45" s="412">
        <f t="shared" si="3"/>
        <v>44734</v>
      </c>
      <c r="Q45" s="31"/>
      <c r="R45" s="739" t="s">
        <v>163</v>
      </c>
      <c r="S45" s="740"/>
      <c r="T45" s="74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>
        <v>20715</v>
      </c>
      <c r="K46" s="227"/>
      <c r="L46" s="232"/>
      <c r="M46" s="231"/>
      <c r="N46" s="227"/>
      <c r="O46" s="360">
        <f t="shared" si="3"/>
        <v>0</v>
      </c>
      <c r="P46" s="412">
        <f t="shared" si="3"/>
        <v>20715</v>
      </c>
      <c r="Q46" s="31"/>
      <c r="R46" s="739" t="s">
        <v>164</v>
      </c>
      <c r="S46" s="740"/>
      <c r="T46" s="741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4500</v>
      </c>
      <c r="G47" s="233">
        <v>80994</v>
      </c>
      <c r="H47" s="15"/>
      <c r="I47" s="234"/>
      <c r="J47" s="233"/>
      <c r="K47" s="227"/>
      <c r="L47" s="234"/>
      <c r="M47" s="233"/>
      <c r="N47" s="227"/>
      <c r="O47" s="361">
        <f t="shared" si="3"/>
        <v>4500</v>
      </c>
      <c r="P47" s="384">
        <f t="shared" si="3"/>
        <v>80994</v>
      </c>
      <c r="Q47" s="31"/>
      <c r="R47" s="745" t="s">
        <v>165</v>
      </c>
      <c r="S47" s="746"/>
      <c r="T47" s="74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4500</v>
      </c>
      <c r="G48" s="235">
        <f>+ROUND(+SUM(G44:G47),0)</f>
        <v>80994</v>
      </c>
      <c r="H48" s="15"/>
      <c r="I48" s="236">
        <f>+ROUND(+SUM(I44:I47),0)</f>
        <v>85227</v>
      </c>
      <c r="J48" s="235">
        <f>+ROUND(+SUM(J44:J47),0)</f>
        <v>3170563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89727</v>
      </c>
      <c r="P48" s="363">
        <f>+ROUND(+SUM(P44:P47),0)</f>
        <v>3251557</v>
      </c>
      <c r="Q48" s="31"/>
      <c r="R48" s="748" t="s">
        <v>186</v>
      </c>
      <c r="S48" s="749"/>
      <c r="T48" s="7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2504491</v>
      </c>
      <c r="G50" s="257">
        <f>+ROUND(G25+G30+G37+G42+G48,0)</f>
        <v>9205488</v>
      </c>
      <c r="H50" s="15"/>
      <c r="I50" s="258">
        <f>+ROUND(I25+I30+I37+I42+I48,0)</f>
        <v>85234</v>
      </c>
      <c r="J50" s="257">
        <f>+ROUND(J25+J30+J37+J42+J48,0)</f>
        <v>3170566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2589725</v>
      </c>
      <c r="P50" s="380">
        <f>+ROUND(P25+P30+P37+P42+P48,0)</f>
        <v>12376054</v>
      </c>
      <c r="Q50" s="106"/>
      <c r="R50" s="760" t="s">
        <v>187</v>
      </c>
      <c r="S50" s="761"/>
      <c r="T50" s="76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7677285</v>
      </c>
      <c r="G53" s="259">
        <v>34219176</v>
      </c>
      <c r="H53" s="15"/>
      <c r="I53" s="260">
        <f>135482+9215+382296</f>
        <v>526993</v>
      </c>
      <c r="J53" s="259">
        <v>8832221</v>
      </c>
      <c r="K53" s="227"/>
      <c r="L53" s="260"/>
      <c r="M53" s="259"/>
      <c r="N53" s="227"/>
      <c r="O53" s="366">
        <f aca="true" t="shared" si="4" ref="O53:P57">+ROUND(+F53+I53+L53,0)</f>
        <v>8204278</v>
      </c>
      <c r="P53" s="359">
        <f t="shared" si="4"/>
        <v>43051397</v>
      </c>
      <c r="Q53" s="31"/>
      <c r="R53" s="728" t="s">
        <v>188</v>
      </c>
      <c r="S53" s="729"/>
      <c r="T53" s="730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127273</v>
      </c>
      <c r="G54" s="233">
        <v>331299</v>
      </c>
      <c r="H54" s="15"/>
      <c r="I54" s="234">
        <v>1993</v>
      </c>
      <c r="J54" s="233">
        <v>6427</v>
      </c>
      <c r="K54" s="227"/>
      <c r="L54" s="234"/>
      <c r="M54" s="233"/>
      <c r="N54" s="227"/>
      <c r="O54" s="361">
        <f t="shared" si="4"/>
        <v>129266</v>
      </c>
      <c r="P54" s="384">
        <f t="shared" si="4"/>
        <v>337726</v>
      </c>
      <c r="Q54" s="31"/>
      <c r="R54" s="739" t="s">
        <v>166</v>
      </c>
      <c r="S54" s="740"/>
      <c r="T54" s="74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33410</v>
      </c>
      <c r="G55" s="233">
        <v>1900421</v>
      </c>
      <c r="H55" s="15"/>
      <c r="I55" s="234"/>
      <c r="J55" s="233">
        <v>0</v>
      </c>
      <c r="K55" s="227"/>
      <c r="L55" s="234"/>
      <c r="M55" s="233"/>
      <c r="N55" s="227"/>
      <c r="O55" s="361">
        <f t="shared" si="4"/>
        <v>33410</v>
      </c>
      <c r="P55" s="384">
        <f t="shared" si="4"/>
        <v>1900421</v>
      </c>
      <c r="Q55" s="31"/>
      <c r="R55" s="739" t="s">
        <v>167</v>
      </c>
      <c r="S55" s="740"/>
      <c r="T55" s="74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14726673</v>
      </c>
      <c r="G56" s="233">
        <v>56197431</v>
      </c>
      <c r="H56" s="15"/>
      <c r="I56" s="234">
        <f>98842+3831+1158971</f>
        <v>1261644</v>
      </c>
      <c r="J56" s="233">
        <v>5849968</v>
      </c>
      <c r="K56" s="227"/>
      <c r="L56" s="234"/>
      <c r="M56" s="233"/>
      <c r="N56" s="227"/>
      <c r="O56" s="361">
        <f t="shared" si="4"/>
        <v>15988317</v>
      </c>
      <c r="P56" s="384">
        <f t="shared" si="4"/>
        <v>62047399</v>
      </c>
      <c r="Q56" s="31"/>
      <c r="R56" s="739" t="s">
        <v>168</v>
      </c>
      <c r="S56" s="740"/>
      <c r="T56" s="741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3560466</v>
      </c>
      <c r="G57" s="233">
        <v>13038962</v>
      </c>
      <c r="H57" s="15"/>
      <c r="I57" s="234">
        <f>10901+739+287554</f>
        <v>299194</v>
      </c>
      <c r="J57" s="233">
        <v>1282716</v>
      </c>
      <c r="K57" s="227"/>
      <c r="L57" s="234"/>
      <c r="M57" s="233"/>
      <c r="N57" s="227"/>
      <c r="O57" s="361">
        <f t="shared" si="4"/>
        <v>3859660</v>
      </c>
      <c r="P57" s="384">
        <f t="shared" si="4"/>
        <v>14321678</v>
      </c>
      <c r="Q57" s="31"/>
      <c r="R57" s="745" t="s">
        <v>169</v>
      </c>
      <c r="S57" s="746"/>
      <c r="T57" s="74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26125107</v>
      </c>
      <c r="G58" s="261">
        <f>+ROUND(+SUM(G53:G57),0)</f>
        <v>105687289</v>
      </c>
      <c r="H58" s="15"/>
      <c r="I58" s="262">
        <f>+ROUND(+SUM(I53:I57),0)</f>
        <v>2089824</v>
      </c>
      <c r="J58" s="261">
        <f>+ROUND(+SUM(J53:J57),0)</f>
        <v>15971332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28214931</v>
      </c>
      <c r="P58" s="382">
        <f>+ROUND(+SUM(P53:P57),0)</f>
        <v>121658621</v>
      </c>
      <c r="Q58" s="31"/>
      <c r="R58" s="748" t="s">
        <v>189</v>
      </c>
      <c r="S58" s="749"/>
      <c r="T58" s="75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>
        <v>1952483</v>
      </c>
      <c r="H60" s="15"/>
      <c r="I60" s="260"/>
      <c r="J60" s="259">
        <v>0</v>
      </c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1952483</v>
      </c>
      <c r="Q60" s="31"/>
      <c r="R60" s="728" t="s">
        <v>170</v>
      </c>
      <c r="S60" s="729"/>
      <c r="T60" s="730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145673</v>
      </c>
      <c r="G61" s="233">
        <v>8984989</v>
      </c>
      <c r="H61" s="15"/>
      <c r="I61" s="234">
        <f>22922+611686</f>
        <v>634608</v>
      </c>
      <c r="J61" s="233">
        <v>541677</v>
      </c>
      <c r="K61" s="227"/>
      <c r="L61" s="234"/>
      <c r="M61" s="233"/>
      <c r="N61" s="227"/>
      <c r="O61" s="361">
        <f t="shared" si="5"/>
        <v>780281</v>
      </c>
      <c r="P61" s="384">
        <f t="shared" si="5"/>
        <v>9526666</v>
      </c>
      <c r="Q61" s="31"/>
      <c r="R61" s="739" t="s">
        <v>171</v>
      </c>
      <c r="S61" s="740"/>
      <c r="T61" s="74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73706</v>
      </c>
      <c r="G62" s="233">
        <v>435217</v>
      </c>
      <c r="H62" s="15"/>
      <c r="I62" s="234">
        <f>540+875815</f>
        <v>876355</v>
      </c>
      <c r="J62" s="233">
        <v>3549077</v>
      </c>
      <c r="K62" s="227"/>
      <c r="L62" s="234"/>
      <c r="M62" s="233"/>
      <c r="N62" s="227"/>
      <c r="O62" s="361">
        <f t="shared" si="5"/>
        <v>950061</v>
      </c>
      <c r="P62" s="384">
        <f t="shared" si="5"/>
        <v>3984294</v>
      </c>
      <c r="Q62" s="31"/>
      <c r="R62" s="739" t="s">
        <v>172</v>
      </c>
      <c r="S62" s="740"/>
      <c r="T62" s="741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5" t="s">
        <v>190</v>
      </c>
      <c r="S63" s="746"/>
      <c r="T63" s="74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219379</v>
      </c>
      <c r="G65" s="261">
        <f>+ROUND(+SUM(G60:G63),0)</f>
        <v>11372689</v>
      </c>
      <c r="H65" s="15"/>
      <c r="I65" s="262">
        <f>+ROUND(+SUM(I60:I63),0)</f>
        <v>1510963</v>
      </c>
      <c r="J65" s="261">
        <f>+ROUND(+SUM(J60:J63),0)</f>
        <v>4090754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1730342</v>
      </c>
      <c r="P65" s="382">
        <f>+ROUND(+SUM(P60:P63),0)</f>
        <v>15463443</v>
      </c>
      <c r="Q65" s="31"/>
      <c r="R65" s="748" t="s">
        <v>192</v>
      </c>
      <c r="S65" s="749"/>
      <c r="T65" s="75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8" t="s">
        <v>173</v>
      </c>
      <c r="S67" s="729"/>
      <c r="T67" s="730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39" t="s">
        <v>174</v>
      </c>
      <c r="S68" s="740"/>
      <c r="T68" s="741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48" t="s">
        <v>193</v>
      </c>
      <c r="S69" s="749"/>
      <c r="T69" s="75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83175</v>
      </c>
      <c r="G71" s="259">
        <v>254889</v>
      </c>
      <c r="H71" s="15"/>
      <c r="I71" s="260"/>
      <c r="J71" s="259"/>
      <c r="K71" s="227"/>
      <c r="L71" s="260"/>
      <c r="M71" s="259"/>
      <c r="N71" s="227"/>
      <c r="O71" s="366">
        <f>+ROUND(+F71+I71+L71,0)</f>
        <v>83175</v>
      </c>
      <c r="P71" s="359">
        <f>+ROUND(+G71+J71+M71,0)</f>
        <v>254889</v>
      </c>
      <c r="Q71" s="31"/>
      <c r="R71" s="728" t="s">
        <v>175</v>
      </c>
      <c r="S71" s="729"/>
      <c r="T71" s="730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39" t="s">
        <v>176</v>
      </c>
      <c r="S72" s="740"/>
      <c r="T72" s="741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83175</v>
      </c>
      <c r="G73" s="261">
        <f>+ROUND(+SUM(G71:G72),0)</f>
        <v>254889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83175</v>
      </c>
      <c r="P73" s="382">
        <f>+ROUND(+SUM(P71:P72),0)</f>
        <v>254889</v>
      </c>
      <c r="Q73" s="31"/>
      <c r="R73" s="748" t="s">
        <v>194</v>
      </c>
      <c r="S73" s="749"/>
      <c r="T73" s="75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>
        <v>10148932</v>
      </c>
      <c r="G75" s="259">
        <v>94634174</v>
      </c>
      <c r="H75" s="15"/>
      <c r="I75" s="260"/>
      <c r="J75" s="259"/>
      <c r="K75" s="227"/>
      <c r="L75" s="260"/>
      <c r="M75" s="259"/>
      <c r="N75" s="227"/>
      <c r="O75" s="366">
        <f>+ROUND(+F75+I75+L75,0)</f>
        <v>10148932</v>
      </c>
      <c r="P75" s="359">
        <f>+ROUND(+G75+J75+M75,0)</f>
        <v>94634174</v>
      </c>
      <c r="Q75" s="31"/>
      <c r="R75" s="728" t="s">
        <v>177</v>
      </c>
      <c r="S75" s="729"/>
      <c r="T75" s="730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>
        <v>14365000</v>
      </c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14365000</v>
      </c>
      <c r="Q76" s="31"/>
      <c r="R76" s="739" t="s">
        <v>195</v>
      </c>
      <c r="S76" s="740"/>
      <c r="T76" s="741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10148932</v>
      </c>
      <c r="G77" s="261">
        <f>+ROUND(+SUM(G75:G76),0)</f>
        <v>108999174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10148932</v>
      </c>
      <c r="P77" s="382">
        <f>+ROUND(+SUM(P75:P76),0)</f>
        <v>108999174</v>
      </c>
      <c r="Q77" s="31"/>
      <c r="R77" s="748" t="s">
        <v>196</v>
      </c>
      <c r="S77" s="749"/>
      <c r="T77" s="75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36576593</v>
      </c>
      <c r="G79" s="272">
        <f>+ROUND(G58+G65+G69+G73+G77,0)</f>
        <v>226314041</v>
      </c>
      <c r="H79" s="15"/>
      <c r="I79" s="269">
        <f>+ROUND(I58+I65+I69+I73+I77,0)</f>
        <v>3600787</v>
      </c>
      <c r="J79" s="272">
        <f>+ROUND(J58+J65+J69+J73+J77,0)</f>
        <v>20062086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40177380</v>
      </c>
      <c r="P79" s="392">
        <f>+ROUND(P58+P65+P69+P73+P77,0)</f>
        <v>246376127</v>
      </c>
      <c r="Q79" s="31"/>
      <c r="R79" s="763" t="s">
        <v>197</v>
      </c>
      <c r="S79" s="764"/>
      <c r="T79" s="76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35090778</v>
      </c>
      <c r="G81" s="229">
        <v>265623505</v>
      </c>
      <c r="H81" s="15"/>
      <c r="I81" s="230">
        <f>105944-17975+2633116</f>
        <v>2721085</v>
      </c>
      <c r="J81" s="229">
        <v>13437634</v>
      </c>
      <c r="K81" s="227"/>
      <c r="L81" s="230"/>
      <c r="M81" s="229"/>
      <c r="N81" s="227"/>
      <c r="O81" s="365">
        <f>+ROUND(+F81+I81+L81,0)</f>
        <v>37811863</v>
      </c>
      <c r="P81" s="378">
        <f>+ROUND(+G81+J81+M81,0)</f>
        <v>279061139</v>
      </c>
      <c r="Q81" s="31"/>
      <c r="R81" s="728" t="s">
        <v>178</v>
      </c>
      <c r="S81" s="729"/>
      <c r="T81" s="730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39" t="s">
        <v>179</v>
      </c>
      <c r="S82" s="740"/>
      <c r="T82" s="741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35090778</v>
      </c>
      <c r="G83" s="270">
        <f>+ROUND(G81+G82,0)</f>
        <v>265623505</v>
      </c>
      <c r="H83" s="15"/>
      <c r="I83" s="271">
        <f>+ROUND(I81+I82,0)</f>
        <v>2721085</v>
      </c>
      <c r="J83" s="270">
        <f>+ROUND(J81+J82,0)</f>
        <v>13437634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37811863</v>
      </c>
      <c r="P83" s="387">
        <f>+ROUND(P81+P82,0)</f>
        <v>279061139</v>
      </c>
      <c r="Q83" s="31"/>
      <c r="R83" s="766" t="s">
        <v>198</v>
      </c>
      <c r="S83" s="767"/>
      <c r="T83" s="76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1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19"/>
      <c r="D84" s="720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1018676</v>
      </c>
      <c r="G85" s="291">
        <f>+ROUND(G50,0)-ROUND(G79,0)+ROUND(G83,0)</f>
        <v>48514952</v>
      </c>
      <c r="H85" s="15"/>
      <c r="I85" s="292">
        <f>+ROUND(I50,0)-ROUND(I79,0)+ROUND(I83,0)</f>
        <v>-794468</v>
      </c>
      <c r="J85" s="291">
        <f>+ROUND(J50,0)-ROUND(J79,0)+ROUND(J83,0)</f>
        <v>-3453886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224208</v>
      </c>
      <c r="P85" s="389">
        <f>+ROUND(P50,0)-ROUND(P79,0)+ROUND(P83,0)</f>
        <v>45061066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-1018676</v>
      </c>
      <c r="G86" s="293">
        <f>+ROUND(G103,0)+ROUND(G122,0)+ROUND(G129,0)-ROUND(G134,0)</f>
        <v>-48514952</v>
      </c>
      <c r="H86" s="15"/>
      <c r="I86" s="294">
        <f>+ROUND(I103,0)+ROUND(I122,0)+ROUND(I129,0)-ROUND(I134,0)</f>
        <v>794468</v>
      </c>
      <c r="J86" s="293">
        <f>+ROUND(J103,0)+ROUND(J122,0)+ROUND(J129,0)-ROUND(J134,0)</f>
        <v>3453886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-224208</v>
      </c>
      <c r="P86" s="391">
        <f>+ROUND(P103,0)+ROUND(P122,0)+ROUND(P129,0)-ROUND(P134,0)</f>
        <v>-45061066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>
        <v>-45000000</v>
      </c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-45000000</v>
      </c>
      <c r="Q89" s="31"/>
      <c r="R89" s="728" t="s">
        <v>199</v>
      </c>
      <c r="S89" s="729"/>
      <c r="T89" s="730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39" t="s">
        <v>200</v>
      </c>
      <c r="S90" s="740"/>
      <c r="T90" s="741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-45000000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-45000000</v>
      </c>
      <c r="Q91" s="31"/>
      <c r="R91" s="748" t="s">
        <v>201</v>
      </c>
      <c r="S91" s="749"/>
      <c r="T91" s="75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8" t="s">
        <v>202</v>
      </c>
      <c r="S93" s="729"/>
      <c r="T93" s="730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39" t="s">
        <v>203</v>
      </c>
      <c r="S94" s="740"/>
      <c r="T94" s="74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39" t="s">
        <v>204</v>
      </c>
      <c r="S95" s="740"/>
      <c r="T95" s="741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5" t="s">
        <v>205</v>
      </c>
      <c r="S96" s="746"/>
      <c r="T96" s="74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48" t="s">
        <v>206</v>
      </c>
      <c r="S97" s="749"/>
      <c r="T97" s="75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28" t="s">
        <v>207</v>
      </c>
      <c r="S99" s="729"/>
      <c r="T99" s="730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22455</v>
      </c>
      <c r="G100" s="233">
        <v>-8757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22455</v>
      </c>
      <c r="P100" s="384">
        <f>+ROUND(+G100+J100+M100,0)</f>
        <v>-8757</v>
      </c>
      <c r="Q100" s="31"/>
      <c r="R100" s="739" t="s">
        <v>208</v>
      </c>
      <c r="S100" s="740"/>
      <c r="T100" s="741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22455</v>
      </c>
      <c r="G101" s="235">
        <f>+ROUND(+SUM(G99:G100),0)</f>
        <v>-8757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22455</v>
      </c>
      <c r="P101" s="363">
        <f>+ROUND(+SUM(P99:P100),0)</f>
        <v>-8757</v>
      </c>
      <c r="Q101" s="31"/>
      <c r="R101" s="748" t="s">
        <v>209</v>
      </c>
      <c r="S101" s="749"/>
      <c r="T101" s="7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22455</v>
      </c>
      <c r="G103" s="257">
        <f>+ROUND(G91+G97+G101,0)</f>
        <v>-45008757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22455</v>
      </c>
      <c r="P103" s="380">
        <f>+ROUND(P91+P97+P101,0)</f>
        <v>-45008757</v>
      </c>
      <c r="Q103" s="106"/>
      <c r="R103" s="760" t="s">
        <v>210</v>
      </c>
      <c r="S103" s="761"/>
      <c r="T103" s="76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8" t="s">
        <v>211</v>
      </c>
      <c r="S106" s="729"/>
      <c r="T106" s="730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39" t="s">
        <v>212</v>
      </c>
      <c r="S107" s="740"/>
      <c r="T107" s="741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48" t="s">
        <v>213</v>
      </c>
      <c r="S108" s="749"/>
      <c r="T108" s="75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75" t="s">
        <v>214</v>
      </c>
      <c r="S110" s="776"/>
      <c r="T110" s="777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78" t="s">
        <v>215</v>
      </c>
      <c r="S111" s="779"/>
      <c r="T111" s="780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48" t="s">
        <v>216</v>
      </c>
      <c r="S112" s="749"/>
      <c r="T112" s="75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8" t="s">
        <v>217</v>
      </c>
      <c r="S114" s="729"/>
      <c r="T114" s="730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39" t="s">
        <v>218</v>
      </c>
      <c r="S115" s="740"/>
      <c r="T115" s="741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48" t="s">
        <v>219</v>
      </c>
      <c r="S116" s="749"/>
      <c r="T116" s="75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>
        <v>-4363</v>
      </c>
      <c r="G118" s="259">
        <v>5824</v>
      </c>
      <c r="H118" s="15"/>
      <c r="I118" s="260"/>
      <c r="J118" s="259"/>
      <c r="K118" s="227"/>
      <c r="L118" s="260">
        <v>-111684</v>
      </c>
      <c r="M118" s="259">
        <v>-887030</v>
      </c>
      <c r="N118" s="227"/>
      <c r="O118" s="366">
        <f>+ROUND(+F118+I118+L118,0)</f>
        <v>-116047</v>
      </c>
      <c r="P118" s="359">
        <f>+ROUND(+G118+J118+M118,0)</f>
        <v>-881206</v>
      </c>
      <c r="Q118" s="31"/>
      <c r="R118" s="728" t="s">
        <v>220</v>
      </c>
      <c r="S118" s="729"/>
      <c r="T118" s="730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39" t="s">
        <v>221</v>
      </c>
      <c r="S119" s="740"/>
      <c r="T119" s="741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-4363</v>
      </c>
      <c r="G120" s="261">
        <f>+ROUND(+SUM(G118:G119),0)</f>
        <v>5824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-111684</v>
      </c>
      <c r="M120" s="261">
        <f>+ROUND(+SUM(M118:M119),0)</f>
        <v>-887030</v>
      </c>
      <c r="N120" s="227"/>
      <c r="O120" s="381">
        <f>+ROUND(+SUM(O118:O119),0)</f>
        <v>-116047</v>
      </c>
      <c r="P120" s="382">
        <f>+ROUND(+SUM(P118:P119),0)</f>
        <v>-881206</v>
      </c>
      <c r="Q120" s="31"/>
      <c r="R120" s="748" t="s">
        <v>222</v>
      </c>
      <c r="S120" s="749"/>
      <c r="T120" s="75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-4363</v>
      </c>
      <c r="G122" s="272">
        <f>+ROUND(G108+G112+G116+G120,0)</f>
        <v>5824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-111684</v>
      </c>
      <c r="M122" s="272">
        <f>+ROUND(M108+M112+M116+M120,0)</f>
        <v>-887030</v>
      </c>
      <c r="N122" s="227"/>
      <c r="O122" s="385">
        <f>+ROUND(O108+O112+O116+O120,0)</f>
        <v>-116047</v>
      </c>
      <c r="P122" s="392">
        <f>+ROUND(P108+P112+P116+P120,0)</f>
        <v>-881206</v>
      </c>
      <c r="Q122" s="31"/>
      <c r="R122" s="763" t="s">
        <v>223</v>
      </c>
      <c r="S122" s="764"/>
      <c r="T122" s="76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8" t="s">
        <v>224</v>
      </c>
      <c r="S124" s="729"/>
      <c r="T124" s="730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-566225</v>
      </c>
      <c r="G125" s="233">
        <v>-3300852</v>
      </c>
      <c r="H125" s="15"/>
      <c r="I125" s="234">
        <f>87822+31760+446643</f>
        <v>566225</v>
      </c>
      <c r="J125" s="233">
        <v>3300852</v>
      </c>
      <c r="K125" s="227"/>
      <c r="L125" s="234">
        <v>7946092</v>
      </c>
      <c r="M125" s="233">
        <v>5225532</v>
      </c>
      <c r="N125" s="227"/>
      <c r="O125" s="361">
        <f t="shared" si="7"/>
        <v>7946092</v>
      </c>
      <c r="P125" s="384">
        <f t="shared" si="7"/>
        <v>5225532</v>
      </c>
      <c r="Q125" s="31"/>
      <c r="R125" s="739" t="s">
        <v>225</v>
      </c>
      <c r="S125" s="740"/>
      <c r="T125" s="74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-457711</v>
      </c>
      <c r="G126" s="233">
        <v>-153955</v>
      </c>
      <c r="H126" s="15"/>
      <c r="I126" s="234">
        <f>-10313+238556</f>
        <v>228243</v>
      </c>
      <c r="J126" s="233">
        <v>153034</v>
      </c>
      <c r="K126" s="227"/>
      <c r="L126" s="234"/>
      <c r="M126" s="233"/>
      <c r="N126" s="227"/>
      <c r="O126" s="361">
        <f t="shared" si="7"/>
        <v>-229468</v>
      </c>
      <c r="P126" s="384">
        <f t="shared" si="7"/>
        <v>-921</v>
      </c>
      <c r="Q126" s="31"/>
      <c r="R126" s="769" t="s">
        <v>286</v>
      </c>
      <c r="S126" s="770"/>
      <c r="T126" s="77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781" t="s">
        <v>282</v>
      </c>
      <c r="S127" s="782"/>
      <c r="T127" s="783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72" t="s">
        <v>226</v>
      </c>
      <c r="S128" s="773"/>
      <c r="T128" s="77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-1023936</v>
      </c>
      <c r="G129" s="270">
        <f>+ROUND(+SUM(G124,G125,G126,G128),0)</f>
        <v>-3454807</v>
      </c>
      <c r="H129" s="15"/>
      <c r="I129" s="271">
        <f>+ROUND(+SUM(I124,I125,I126,I128),0)</f>
        <v>794468</v>
      </c>
      <c r="J129" s="270">
        <f>+ROUND(+SUM(J124,J125,J126,J128),0)</f>
        <v>3453886</v>
      </c>
      <c r="K129" s="227"/>
      <c r="L129" s="271">
        <f>+ROUND(+SUM(L124,L125,L126,L128),0)</f>
        <v>7946092</v>
      </c>
      <c r="M129" s="270">
        <f>+ROUND(+SUM(M124,M125,M126,M128),0)</f>
        <v>5225532</v>
      </c>
      <c r="N129" s="227"/>
      <c r="O129" s="386">
        <f>+ROUND(+SUM(O124,O125,O126,O128),0)</f>
        <v>7716624</v>
      </c>
      <c r="P129" s="387">
        <f>+ROUND(+SUM(P124,P125,P126,P128),0)</f>
        <v>5224611</v>
      </c>
      <c r="Q129" s="31"/>
      <c r="R129" s="766" t="s">
        <v>227</v>
      </c>
      <c r="S129" s="767"/>
      <c r="T129" s="76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276429</v>
      </c>
      <c r="G131" s="229">
        <v>218991</v>
      </c>
      <c r="H131" s="15"/>
      <c r="I131" s="230"/>
      <c r="J131" s="229"/>
      <c r="K131" s="227"/>
      <c r="L131" s="230">
        <v>29547414</v>
      </c>
      <c r="M131" s="229">
        <v>25208912</v>
      </c>
      <c r="N131" s="227"/>
      <c r="O131" s="365">
        <f aca="true" t="shared" si="8" ref="O131:P133">+ROUND(+F131+I131+L131,0)</f>
        <v>29823843</v>
      </c>
      <c r="P131" s="378">
        <f t="shared" si="8"/>
        <v>25427903</v>
      </c>
      <c r="Q131" s="31"/>
      <c r="R131" s="728" t="s">
        <v>228</v>
      </c>
      <c r="S131" s="729"/>
      <c r="T131" s="73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>
        <v>-136</v>
      </c>
      <c r="G132" s="233">
        <v>226</v>
      </c>
      <c r="H132" s="15"/>
      <c r="I132" s="234"/>
      <c r="J132" s="233"/>
      <c r="K132" s="227"/>
      <c r="L132" s="234"/>
      <c r="M132" s="233"/>
      <c r="N132" s="227"/>
      <c r="O132" s="361">
        <f t="shared" si="8"/>
        <v>-136</v>
      </c>
      <c r="P132" s="384">
        <f t="shared" si="8"/>
        <v>226</v>
      </c>
      <c r="Q132" s="31"/>
      <c r="R132" s="739" t="s">
        <v>229</v>
      </c>
      <c r="S132" s="740"/>
      <c r="T132" s="741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289125</v>
      </c>
      <c r="G133" s="233">
        <v>276429</v>
      </c>
      <c r="H133" s="15"/>
      <c r="I133" s="234"/>
      <c r="J133" s="233"/>
      <c r="K133" s="227"/>
      <c r="L133" s="234">
        <v>37381822</v>
      </c>
      <c r="M133" s="233">
        <v>29547414</v>
      </c>
      <c r="N133" s="227"/>
      <c r="O133" s="361">
        <f t="shared" si="8"/>
        <v>37670947</v>
      </c>
      <c r="P133" s="384">
        <f t="shared" si="8"/>
        <v>29823843</v>
      </c>
      <c r="Q133" s="31"/>
      <c r="R133" s="789" t="s">
        <v>230</v>
      </c>
      <c r="S133" s="790"/>
      <c r="T133" s="79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12832</v>
      </c>
      <c r="G134" s="275">
        <f>+ROUND(+G133-G131-G132,0)</f>
        <v>57212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7834408</v>
      </c>
      <c r="M134" s="275">
        <f>+ROUND(+M133-M131-M132,0)</f>
        <v>4338502</v>
      </c>
      <c r="N134" s="227"/>
      <c r="O134" s="394">
        <f>+ROUND(+O133-O131-O132,0)</f>
        <v>7847240</v>
      </c>
      <c r="P134" s="395">
        <f>+ROUND(+P133-P131-P132,0)</f>
        <v>4395714</v>
      </c>
      <c r="Q134" s="31"/>
      <c r="R134" s="786" t="s">
        <v>295</v>
      </c>
      <c r="S134" s="787"/>
      <c r="T134" s="788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1"/>
      <c r="D135" s="721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>
        <v>18937884</v>
      </c>
      <c r="G137" s="229">
        <v>19871841</v>
      </c>
      <c r="H137" s="15"/>
      <c r="I137" s="230">
        <v>189679</v>
      </c>
      <c r="J137" s="229">
        <v>189679</v>
      </c>
      <c r="K137" s="227"/>
      <c r="L137" s="230"/>
      <c r="M137" s="229"/>
      <c r="N137" s="227"/>
      <c r="O137" s="365">
        <f aca="true" t="shared" si="9" ref="O137:P139">+ROUND(+F137+I137+L137,0)</f>
        <v>19127563</v>
      </c>
      <c r="P137" s="378">
        <f t="shared" si="9"/>
        <v>20061520</v>
      </c>
      <c r="Q137" s="31"/>
      <c r="R137" s="681" t="s">
        <v>309</v>
      </c>
      <c r="S137" s="682"/>
      <c r="T137" s="68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684" t="s">
        <v>306</v>
      </c>
      <c r="S138" s="685"/>
      <c r="T138" s="68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>
        <v>18937884</v>
      </c>
      <c r="G139" s="233">
        <v>18937884</v>
      </c>
      <c r="H139" s="15"/>
      <c r="I139" s="234">
        <v>189679</v>
      </c>
      <c r="J139" s="233">
        <v>189679</v>
      </c>
      <c r="K139" s="227"/>
      <c r="L139" s="234"/>
      <c r="M139" s="233"/>
      <c r="N139" s="227"/>
      <c r="O139" s="361">
        <f t="shared" si="9"/>
        <v>19127563</v>
      </c>
      <c r="P139" s="384">
        <f t="shared" si="9"/>
        <v>19127563</v>
      </c>
      <c r="Q139" s="31"/>
      <c r="R139" s="687" t="s">
        <v>305</v>
      </c>
      <c r="S139" s="688"/>
      <c r="T139" s="68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-933957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-933957</v>
      </c>
      <c r="Q140" s="31"/>
      <c r="R140" s="690" t="s">
        <v>296</v>
      </c>
      <c r="S140" s="691"/>
      <c r="T140" s="69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12832</v>
      </c>
      <c r="G142" s="537">
        <f>+G134+G140</f>
        <v>-876745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7834408</v>
      </c>
      <c r="M142" s="537">
        <f>+M134+M140</f>
        <v>4338502</v>
      </c>
      <c r="N142" s="227"/>
      <c r="O142" s="394">
        <f>+O134+O140</f>
        <v>7847240</v>
      </c>
      <c r="P142" s="395">
        <f>+P134+P140</f>
        <v>3461757</v>
      </c>
      <c r="Q142" s="31"/>
      <c r="R142" s="693" t="s">
        <v>298</v>
      </c>
      <c r="S142" s="694"/>
      <c r="T142" s="69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2052023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696" t="s">
        <v>457</v>
      </c>
      <c r="G148" s="697"/>
      <c r="H148" s="697"/>
      <c r="I148" s="698"/>
      <c r="J148" s="346"/>
      <c r="K148" s="16"/>
      <c r="L148" s="346" t="s">
        <v>234</v>
      </c>
      <c r="M148" s="696" t="s">
        <v>458</v>
      </c>
      <c r="N148" s="697"/>
      <c r="O148" s="697"/>
      <c r="P148" s="69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19227009</v>
      </c>
      <c r="G160" s="566">
        <f>+G133+G139</f>
        <v>19214313</v>
      </c>
      <c r="I160" s="565">
        <f>+I133+I139</f>
        <v>189679</v>
      </c>
      <c r="J160" s="566">
        <f>+J133+J139</f>
        <v>189679</v>
      </c>
      <c r="K160" s="227"/>
      <c r="L160" s="565">
        <f>+L133+L139</f>
        <v>37381822</v>
      </c>
      <c r="M160" s="566">
        <f>+M133+M139</f>
        <v>29547414</v>
      </c>
      <c r="N160" s="227"/>
      <c r="O160" s="569">
        <f>+ROUND(+F160+I160+L160,0)</f>
        <v>56798510</v>
      </c>
      <c r="P160" s="570">
        <f>+ROUND(+G160+J160+M160,0)</f>
        <v>48951406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677">
        <f>+'Cash-Flow-2023-Leva'!P5</f>
        <v>2023</v>
      </c>
      <c r="D161" s="678"/>
      <c r="F161" s="562">
        <v>19227010</v>
      </c>
      <c r="G161" s="563">
        <v>19214314</v>
      </c>
      <c r="I161" s="562">
        <v>189679</v>
      </c>
      <c r="J161" s="563">
        <v>189679</v>
      </c>
      <c r="K161" s="227"/>
      <c r="L161" s="562">
        <v>37381822</v>
      </c>
      <c r="M161" s="563">
        <v>29547414</v>
      </c>
      <c r="N161" s="227"/>
      <c r="O161" s="571">
        <f>+ROUND(+F161+I161+L161,0)</f>
        <v>56798511</v>
      </c>
      <c r="P161" s="572">
        <f>+ROUND(+G161+J161+M161,0)</f>
        <v>48951407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31.03.2023 г.</v>
      </c>
      <c r="G162" s="556">
        <f>+G11</f>
        <v>2022</v>
      </c>
      <c r="I162" s="594" t="str">
        <f>+I11</f>
        <v>31.03.2023 г.</v>
      </c>
      <c r="J162" s="558">
        <f>+J11</f>
        <v>2022</v>
      </c>
      <c r="K162" s="11"/>
      <c r="L162" s="595" t="str">
        <f>+L11</f>
        <v>31.03.2023 г.</v>
      </c>
      <c r="M162" s="561">
        <f>+M11</f>
        <v>2022</v>
      </c>
      <c r="N162" s="11"/>
      <c r="O162" s="596" t="str">
        <f>+O11</f>
        <v>31.03.2023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-1</v>
      </c>
      <c r="G164" s="112">
        <f>+G160-G161</f>
        <v>-1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-1</v>
      </c>
      <c r="P164" s="499">
        <f>+P160-P161</f>
        <v>-1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>
        <v>1</v>
      </c>
      <c r="G165" s="114">
        <v>1</v>
      </c>
      <c r="H165" s="10"/>
      <c r="I165" s="347"/>
      <c r="J165" s="114"/>
      <c r="K165" s="10"/>
      <c r="L165" s="347"/>
      <c r="M165" s="114"/>
      <c r="N165" s="10"/>
      <c r="O165" s="500">
        <v>1</v>
      </c>
      <c r="P165" s="501">
        <v>1</v>
      </c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93">
        <f>+IF(F171&gt;0,"БЮДЖЕТ",0)</f>
        <v>0</v>
      </c>
      <c r="G170" s="793"/>
      <c r="I170" s="793">
        <f>+IF(I171&gt;0,"СЕС",0)</f>
        <v>0</v>
      </c>
      <c r="J170" s="793"/>
      <c r="K170" s="11"/>
      <c r="L170" s="793">
        <f>+IF(L171&gt;0,"ДСД",0)</f>
        <v>0</v>
      </c>
      <c r="M170" s="793"/>
      <c r="N170" s="11"/>
      <c r="O170" s="793">
        <f>+IF(O171&gt;0,"Общо (Б-т + СЕС + ДСД)",0)</f>
        <v>0</v>
      </c>
      <c r="P170" s="79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93">
        <f>+COUNTIF(F168:G168,"&lt;&gt;0")</f>
        <v>0</v>
      </c>
      <c r="G171" s="793"/>
      <c r="I171" s="793">
        <f>+COUNTIF(I168:J168,"&lt;&gt;0")</f>
        <v>0</v>
      </c>
      <c r="J171" s="793"/>
      <c r="K171" s="11"/>
      <c r="L171" s="793">
        <f>+COUNTIF(L168:M168,"&lt;&gt;0")</f>
        <v>0</v>
      </c>
      <c r="M171" s="793"/>
      <c r="N171" s="11"/>
      <c r="O171" s="793">
        <f>+COUNTIF(O168:P168,"&lt;&gt;0")</f>
        <v>0</v>
      </c>
      <c r="P171" s="79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2">
        <f>+IF(O174&gt;0,"ВСИЧКО: Б-т + СЕС + ДСД + Общо",0)</f>
        <v>0</v>
      </c>
      <c r="P173" s="79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2">
        <f>+SUM(F171:P171)</f>
        <v>0</v>
      </c>
      <c r="P174" s="79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26:L126 K125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view="pageBreakPreview" zoomScale="60" zoomScalePageLayoutView="0" workbookViewId="0" topLeftCell="A1">
      <pane xSplit="5" ySplit="12" topLeftCell="F10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7" sqref="F147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794" t="str">
        <f>+'Cash-Flow-2023-Leva'!B1:F1</f>
        <v>МИНИСТЕРСКИ СЪВЕТ</v>
      </c>
      <c r="C1" s="795"/>
      <c r="D1" s="795"/>
      <c r="E1" s="795"/>
      <c r="F1" s="796"/>
      <c r="G1" s="438" t="s">
        <v>244</v>
      </c>
      <c r="H1" s="121"/>
      <c r="I1" s="797">
        <f>+'Cash-Flow-2023-Leva'!I1:J1</f>
        <v>695025</v>
      </c>
      <c r="J1" s="798"/>
      <c r="K1" s="439"/>
      <c r="L1" s="440" t="s">
        <v>245</v>
      </c>
      <c r="M1" s="441">
        <f>+'Cash-Flow-2023-Leva'!M1</f>
        <v>300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799">
        <f>+'Cash-Flow-2023-Leva'!$S$1</f>
        <v>0</v>
      </c>
      <c r="T1" s="80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01" t="s">
        <v>249</v>
      </c>
      <c r="C2" s="802"/>
      <c r="D2" s="802"/>
      <c r="E2" s="802"/>
      <c r="F2" s="80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04" t="str">
        <f>+'Cash-Flow-2023-Leva'!B3:F3</f>
        <v>[Седалище и адрес]</v>
      </c>
      <c r="C3" s="805"/>
      <c r="D3" s="805"/>
      <c r="E3" s="805"/>
      <c r="F3" s="806"/>
      <c r="G3" s="445" t="s">
        <v>238</v>
      </c>
      <c r="H3" s="807" t="str">
        <f>+'Cash-Flow-2023-Leva'!H3</f>
        <v>www.government.bg</v>
      </c>
      <c r="I3" s="808"/>
      <c r="J3" s="808"/>
      <c r="K3" s="809"/>
      <c r="L3" s="51" t="s">
        <v>246</v>
      </c>
      <c r="M3" s="810">
        <f>+'Cash-Flow-2023-Leva'!M3:P3</f>
        <v>0</v>
      </c>
      <c r="N3" s="811"/>
      <c r="O3" s="811"/>
      <c r="P3" s="81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679">
        <f>+'Cash-Flow-2023-Leva'!B5</f>
        <v>0</v>
      </c>
      <c r="C5" s="679"/>
      <c r="D5" s="814" t="s">
        <v>243</v>
      </c>
      <c r="E5" s="814"/>
      <c r="F5" s="814"/>
      <c r="G5" s="814"/>
      <c r="H5" s="814"/>
      <c r="I5" s="814"/>
      <c r="J5" s="814"/>
      <c r="K5" s="814"/>
      <c r="L5" s="814"/>
      <c r="M5" s="39"/>
      <c r="N5" s="39"/>
      <c r="O5" s="53" t="s">
        <v>17</v>
      </c>
      <c r="P5" s="449">
        <f>+'Cash-Flow-2023-Leva'!P5</f>
        <v>2023</v>
      </c>
      <c r="Q5" s="39"/>
      <c r="R5" s="813" t="s">
        <v>180</v>
      </c>
      <c r="S5" s="813"/>
      <c r="T5" s="813"/>
      <c r="U5" s="6"/>
    </row>
    <row r="6" spans="1:28" s="3" customFormat="1" ht="17.25" customHeight="1">
      <c r="A6" s="6"/>
      <c r="B6" s="822">
        <f>+'Cash-Flow-2023-Leva'!B6</f>
        <v>0</v>
      </c>
      <c r="C6" s="822"/>
      <c r="D6" s="814" t="s">
        <v>242</v>
      </c>
      <c r="E6" s="814"/>
      <c r="F6" s="814"/>
      <c r="G6" s="814"/>
      <c r="H6" s="814"/>
      <c r="I6" s="814"/>
      <c r="J6" s="814"/>
      <c r="K6" s="814"/>
      <c r="L6" s="814"/>
      <c r="M6" s="42"/>
      <c r="N6" s="5"/>
      <c r="O6" s="6"/>
      <c r="P6" s="6"/>
      <c r="Q6" s="1"/>
      <c r="R6" s="815">
        <f>+P4</f>
        <v>0</v>
      </c>
      <c r="S6" s="815"/>
      <c r="T6" s="815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16" t="str">
        <f>+B1</f>
        <v>МИНИСТЕРСКИ СЪВЕТ</v>
      </c>
      <c r="E8" s="816"/>
      <c r="F8" s="816"/>
      <c r="G8" s="816"/>
      <c r="H8" s="816"/>
      <c r="I8" s="816"/>
      <c r="J8" s="816"/>
      <c r="K8" s="816"/>
      <c r="L8" s="816"/>
      <c r="M8" s="446" t="s">
        <v>247</v>
      </c>
      <c r="N8" s="5"/>
      <c r="O8" s="597" t="str">
        <f>+'Cash-Flow-2023-Leva'!O8</f>
        <v>31.03.2023 г.</v>
      </c>
      <c r="P8" s="447" t="s">
        <v>8</v>
      </c>
      <c r="Q8" s="1"/>
      <c r="R8" s="817">
        <f>+P5</f>
        <v>2023</v>
      </c>
      <c r="S8" s="818"/>
      <c r="T8" s="819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31.03.2023 г.</v>
      </c>
      <c r="G11" s="396">
        <f>+'Cash-Flow-2023-Leva'!G11</f>
        <v>2022</v>
      </c>
      <c r="H11" s="5"/>
      <c r="I11" s="589" t="str">
        <f>+O8</f>
        <v>31.03.2023 г.</v>
      </c>
      <c r="J11" s="397">
        <f>+'Cash-Flow-2023-Leva'!J11</f>
        <v>2022</v>
      </c>
      <c r="K11" s="5"/>
      <c r="L11" s="590" t="str">
        <f>+O8</f>
        <v>31.03.2023 г.</v>
      </c>
      <c r="M11" s="398">
        <f>+'Cash-Flow-2023-Leva'!M11</f>
        <v>2022</v>
      </c>
      <c r="N11" s="462"/>
      <c r="O11" s="591" t="str">
        <f>+O8</f>
        <v>31.03.2023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0</v>
      </c>
      <c r="G15" s="255">
        <f>+'Cash-Flow-2023-Leva'!G15/1000</f>
        <v>0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274.77</v>
      </c>
      <c r="G16" s="267">
        <f>+'Cash-Flow-2023-Leva'!G16/1000</f>
        <v>1000.865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274.77</v>
      </c>
      <c r="P16" s="384">
        <f t="shared" si="1"/>
        <v>1000.865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-16.387</v>
      </c>
      <c r="G18" s="255">
        <f>+'Cash-Flow-2023-Leva'!G18/1000</f>
        <v>291.007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-16.387</v>
      </c>
      <c r="P18" s="378">
        <f t="shared" si="1"/>
        <v>291.007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716.219</v>
      </c>
      <c r="G19" s="278">
        <f>+'Cash-Flow-2023-Leva'!G19/1000</f>
        <v>2853.353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716.219</v>
      </c>
      <c r="P19" s="412">
        <f t="shared" si="1"/>
        <v>2853.353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673.098</v>
      </c>
      <c r="G20" s="278">
        <f>+'Cash-Flow-2023-Leva'!G20/1000</f>
        <v>2600.938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673.098</v>
      </c>
      <c r="P20" s="412">
        <f t="shared" si="1"/>
        <v>2600.938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68.936</v>
      </c>
      <c r="G21" s="278">
        <f>+'Cash-Flow-2023-Leva'!G21/1000</f>
        <v>1651.851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68.936</v>
      </c>
      <c r="P21" s="412">
        <f t="shared" si="1"/>
        <v>1651.851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0.01</v>
      </c>
      <c r="G22" s="278">
        <f>+'Cash-Flow-2023-Leva'!G22/1000</f>
        <v>0.356</v>
      </c>
      <c r="H22" s="277"/>
      <c r="I22" s="279">
        <f>+'Cash-Flow-2023-Leva'!I22/1000</f>
        <v>0.007</v>
      </c>
      <c r="J22" s="278">
        <f>+'Cash-Flow-2023-Leva'!J22/1000</f>
        <v>0.003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0.017</v>
      </c>
      <c r="P22" s="412">
        <f t="shared" si="1"/>
        <v>0.359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115.404</v>
      </c>
      <c r="G24" s="267">
        <f>+'Cash-Flow-2023-Leva'!G24/1000</f>
        <v>172.801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115.404</v>
      </c>
      <c r="P24" s="384">
        <f t="shared" si="1"/>
        <v>172.801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1832.05</v>
      </c>
      <c r="G25" s="235">
        <f>+SUM(G15,G16,G18,G19,G20,G21,G22,G23,G24)</f>
        <v>8571.171</v>
      </c>
      <c r="H25" s="277"/>
      <c r="I25" s="236">
        <f>+SUM(I15,I16,I18,I19,I20,I21,I22,I23,I24)</f>
        <v>0.007</v>
      </c>
      <c r="J25" s="235">
        <f>+SUM(J15,J16,J18,J19,J20,J21,J22,J23,J24)</f>
        <v>0.003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1832.057</v>
      </c>
      <c r="P25" s="363">
        <f>+SUM(P15,P16,P18,P19,P20,P21,P22,P23,P24)</f>
        <v>8571.174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1147.278</v>
      </c>
      <c r="G27" s="255">
        <f>+'Cash-Flow-2023-Leva'!G27/1000</f>
        <v>2948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1147.278</v>
      </c>
      <c r="P27" s="378">
        <f t="shared" si="2"/>
        <v>2948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268.73</v>
      </c>
      <c r="G28" s="278">
        <f>+'Cash-Flow-2023-Leva'!G28/1000</f>
        <v>1139.369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268.73</v>
      </c>
      <c r="P28" s="412">
        <f t="shared" si="2"/>
        <v>1139.369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1416.008</v>
      </c>
      <c r="G30" s="235">
        <f>+SUM(G27:G29)</f>
        <v>4087.3689999999997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1416.008</v>
      </c>
      <c r="P30" s="363">
        <f>+SUM(P27:P29)</f>
        <v>4087.3689999999997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-750.789</v>
      </c>
      <c r="G37" s="235">
        <f>+'Cash-Flow-2023-Leva'!G37/1000</f>
        <v>-3558.901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-750.789</v>
      </c>
      <c r="P37" s="363">
        <f t="shared" si="3"/>
        <v>-3558.901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-672.172</v>
      </c>
      <c r="G38" s="280">
        <f>+'Cash-Flow-2023-Leva'!G38/1000</f>
        <v>-2702.426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-672.172</v>
      </c>
      <c r="P38" s="413">
        <f t="shared" si="3"/>
        <v>-2702.426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-60.326</v>
      </c>
      <c r="G39" s="282">
        <f>+'Cash-Flow-2023-Leva'!G39/1000</f>
        <v>-808.322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-60.326</v>
      </c>
      <c r="P39" s="414">
        <f t="shared" si="3"/>
        <v>-808.322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-18.291</v>
      </c>
      <c r="G40" s="284">
        <f>+'Cash-Flow-2023-Leva'!G40/1000</f>
        <v>-48.153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-18.291</v>
      </c>
      <c r="P40" s="415">
        <f t="shared" si="3"/>
        <v>-48.153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2.722</v>
      </c>
      <c r="G42" s="235">
        <f>+'Cash-Flow-2023-Leva'!G42/1000</f>
        <v>24.855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2.722</v>
      </c>
      <c r="P42" s="363">
        <f>+G42+J42+M42</f>
        <v>24.855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85.227</v>
      </c>
      <c r="J44" s="255">
        <f>+'Cash-Flow-2023-Leva'!J44/1000</f>
        <v>3105.114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85.227</v>
      </c>
      <c r="P44" s="378">
        <f t="shared" si="4"/>
        <v>3105.114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44.734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44.734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20.715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20.715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4.5</v>
      </c>
      <c r="G47" s="267">
        <f>+'Cash-Flow-2023-Leva'!G47/1000</f>
        <v>80.994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4.5</v>
      </c>
      <c r="P47" s="384">
        <f t="shared" si="4"/>
        <v>80.994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4.5</v>
      </c>
      <c r="G48" s="235">
        <f>+SUM(G44:G47)</f>
        <v>80.994</v>
      </c>
      <c r="H48" s="277"/>
      <c r="I48" s="236">
        <f>+SUM(I44:I47)</f>
        <v>85.227</v>
      </c>
      <c r="J48" s="235">
        <f>+SUM(J44:J47)</f>
        <v>3170.563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89.727</v>
      </c>
      <c r="P48" s="363">
        <f>+SUM(P44:P47)</f>
        <v>3251.5570000000002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2504.4910000000004</v>
      </c>
      <c r="G50" s="257">
        <f>+G25+G30+G37+G42+G48</f>
        <v>9205.488000000001</v>
      </c>
      <c r="H50" s="277"/>
      <c r="I50" s="258">
        <f>+I25+I30+I37+I42+I48</f>
        <v>85.23400000000001</v>
      </c>
      <c r="J50" s="257">
        <f>+J25+J30+J37+J42+J48</f>
        <v>3170.5660000000003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2589.725</v>
      </c>
      <c r="P50" s="380">
        <f>+P25+P30+P37+P42+P48</f>
        <v>12376.054000000002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7677.285</v>
      </c>
      <c r="G53" s="228">
        <f>+'Cash-Flow-2023-Leva'!G53/1000</f>
        <v>34219.176</v>
      </c>
      <c r="H53" s="277"/>
      <c r="I53" s="238">
        <f>+'Cash-Flow-2023-Leva'!I53/1000</f>
        <v>526.993</v>
      </c>
      <c r="J53" s="228">
        <f>+'Cash-Flow-2023-Leva'!J53/1000</f>
        <v>8832.221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8204.278</v>
      </c>
      <c r="P53" s="359">
        <f t="shared" si="5"/>
        <v>43051.397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127.273</v>
      </c>
      <c r="G54" s="267">
        <f>+'Cash-Flow-2023-Leva'!G54/1000</f>
        <v>331.299</v>
      </c>
      <c r="H54" s="277"/>
      <c r="I54" s="268">
        <f>+'Cash-Flow-2023-Leva'!I54/1000</f>
        <v>1.993</v>
      </c>
      <c r="J54" s="267">
        <f>+'Cash-Flow-2023-Leva'!J54/1000</f>
        <v>6.427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129.266</v>
      </c>
      <c r="P54" s="384">
        <f t="shared" si="5"/>
        <v>337.726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33.41</v>
      </c>
      <c r="G55" s="267">
        <f>+'Cash-Flow-2023-Leva'!G55/1000</f>
        <v>1900.421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33.41</v>
      </c>
      <c r="P55" s="384">
        <f t="shared" si="5"/>
        <v>1900.421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14726.673</v>
      </c>
      <c r="G56" s="267">
        <f>+'Cash-Flow-2023-Leva'!G56/1000</f>
        <v>56197.431</v>
      </c>
      <c r="H56" s="277"/>
      <c r="I56" s="268">
        <f>+'Cash-Flow-2023-Leva'!I56/1000</f>
        <v>1261.644</v>
      </c>
      <c r="J56" s="267">
        <f>+'Cash-Flow-2023-Leva'!J56/1000</f>
        <v>5849.968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15988.317000000001</v>
      </c>
      <c r="P56" s="384">
        <f t="shared" si="5"/>
        <v>62047.399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3560.466</v>
      </c>
      <c r="G57" s="267">
        <f>+'Cash-Flow-2023-Leva'!G57/1000</f>
        <v>13038.962</v>
      </c>
      <c r="H57" s="277"/>
      <c r="I57" s="268">
        <f>+'Cash-Flow-2023-Leva'!I57/1000</f>
        <v>299.194</v>
      </c>
      <c r="J57" s="267">
        <f>+'Cash-Flow-2023-Leva'!J57/1000</f>
        <v>1282.716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3859.66</v>
      </c>
      <c r="P57" s="384">
        <f t="shared" si="5"/>
        <v>14321.678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26125.107</v>
      </c>
      <c r="G58" s="261">
        <f>+SUM(G53:G57)</f>
        <v>105687.28899999999</v>
      </c>
      <c r="H58" s="277"/>
      <c r="I58" s="262">
        <f>+SUM(I53:I57)</f>
        <v>2089.824</v>
      </c>
      <c r="J58" s="261">
        <f>+SUM(J53:J57)</f>
        <v>15971.331999999999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28214.931</v>
      </c>
      <c r="P58" s="382">
        <f>+SUM(P53:P57)</f>
        <v>121658.621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1952.483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1952.483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145.673</v>
      </c>
      <c r="G61" s="267">
        <f>+'Cash-Flow-2023-Leva'!G61/1000</f>
        <v>8984.989</v>
      </c>
      <c r="H61" s="277"/>
      <c r="I61" s="268">
        <f>+'Cash-Flow-2023-Leva'!I61/1000</f>
        <v>634.608</v>
      </c>
      <c r="J61" s="267">
        <f>+'Cash-Flow-2023-Leva'!J61/1000</f>
        <v>541.677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780.281</v>
      </c>
      <c r="P61" s="384">
        <f t="shared" si="6"/>
        <v>9526.666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73.706</v>
      </c>
      <c r="G62" s="267">
        <f>+'Cash-Flow-2023-Leva'!G62/1000</f>
        <v>435.217</v>
      </c>
      <c r="H62" s="277"/>
      <c r="I62" s="268">
        <f>+'Cash-Flow-2023-Leva'!I62/1000</f>
        <v>876.355</v>
      </c>
      <c r="J62" s="267">
        <f>+'Cash-Flow-2023-Leva'!J62/1000</f>
        <v>3549.077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950.061</v>
      </c>
      <c r="P62" s="384">
        <f t="shared" si="6"/>
        <v>3984.2940000000003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219.37900000000002</v>
      </c>
      <c r="G65" s="261">
        <f>+SUM(G60:G63)</f>
        <v>11372.689</v>
      </c>
      <c r="H65" s="277"/>
      <c r="I65" s="262">
        <f>+SUM(I60:I63)</f>
        <v>1510.963</v>
      </c>
      <c r="J65" s="261">
        <f>+SUM(J60:J63)</f>
        <v>4090.7540000000004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1730.342</v>
      </c>
      <c r="P65" s="382">
        <f>+SUM(P60:P63)</f>
        <v>15463.443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83.175</v>
      </c>
      <c r="G71" s="228">
        <f>+'Cash-Flow-2023-Leva'!G71/1000</f>
        <v>254.889</v>
      </c>
      <c r="H71" s="277"/>
      <c r="I71" s="238">
        <f>+'Cash-Flow-2023-Leva'!I71/1000</f>
        <v>0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83.175</v>
      </c>
      <c r="P71" s="359">
        <f>+G71+J71+M71</f>
        <v>254.889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83.175</v>
      </c>
      <c r="G73" s="261">
        <f>+SUM(G71:G72)</f>
        <v>254.889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83.175</v>
      </c>
      <c r="P73" s="382">
        <f>+SUM(P71:P72)</f>
        <v>254.889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10148.932</v>
      </c>
      <c r="G75" s="228">
        <f>+'Cash-Flow-2023-Leva'!G75/1000</f>
        <v>94634.174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10148.932</v>
      </c>
      <c r="P75" s="359">
        <f>+G75+J75+M75</f>
        <v>94634.174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14365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14365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10148.932</v>
      </c>
      <c r="G77" s="261">
        <f>+SUM(G75:G76)</f>
        <v>108999.174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10148.932</v>
      </c>
      <c r="P77" s="382">
        <f>+SUM(P75:P76)</f>
        <v>108999.174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36576.593</v>
      </c>
      <c r="G79" s="272">
        <f>+G58+G65+G69+G73+G77</f>
        <v>226314.04099999997</v>
      </c>
      <c r="H79" s="277"/>
      <c r="I79" s="269">
        <f>+I58+I65+I69+I73+I77</f>
        <v>3600.7870000000003</v>
      </c>
      <c r="J79" s="272">
        <f>+J58+J65+J69+J73+J77</f>
        <v>20062.086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40177.380000000005</v>
      </c>
      <c r="P79" s="392">
        <f>+P58+P65+P69+P73+P77</f>
        <v>246376.127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35090.778</v>
      </c>
      <c r="G81" s="255">
        <f>+'Cash-Flow-2023-Leva'!G81/1000</f>
        <v>265623.505</v>
      </c>
      <c r="H81" s="277"/>
      <c r="I81" s="256">
        <f>+'Cash-Flow-2023-Leva'!I81/1000</f>
        <v>2721.085</v>
      </c>
      <c r="J81" s="255">
        <f>+'Cash-Flow-2023-Leva'!J81/1000</f>
        <v>13437.634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37811.863</v>
      </c>
      <c r="P81" s="378">
        <f>+G81+J81+M81</f>
        <v>279061.139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35090.778</v>
      </c>
      <c r="G83" s="270">
        <f>+G81+G82</f>
        <v>265623.505</v>
      </c>
      <c r="H83" s="277"/>
      <c r="I83" s="271">
        <f>+I81+I82</f>
        <v>2721.085</v>
      </c>
      <c r="J83" s="270">
        <f>+J81+J82</f>
        <v>13437.634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37811.863</v>
      </c>
      <c r="P83" s="387">
        <f>+P81+P82</f>
        <v>279061.139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1"/>
      <c r="D84" s="821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1018.6759999999995</v>
      </c>
      <c r="G85" s="291">
        <f>+G50-G79+G83</f>
        <v>48514.95200000005</v>
      </c>
      <c r="H85" s="277"/>
      <c r="I85" s="292">
        <f>+I50-I79+I83</f>
        <v>-794.4680000000003</v>
      </c>
      <c r="J85" s="291">
        <f>+J50-J79+J83</f>
        <v>-3453.8860000000004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224.20799999999144</v>
      </c>
      <c r="P85" s="389">
        <f>+P50-P79+P83</f>
        <v>45061.06600000002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-1018.676</v>
      </c>
      <c r="G86" s="293">
        <f>+G103+G122+G129-G134</f>
        <v>-48514.952</v>
      </c>
      <c r="H86" s="277"/>
      <c r="I86" s="294">
        <f>+I103+I122+I129-I134</f>
        <v>794.4680000000001</v>
      </c>
      <c r="J86" s="293">
        <f>+J103+J122+J129-J134</f>
        <v>3453.886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-224.20799999999963</v>
      </c>
      <c r="P86" s="391">
        <f>+P103+P122+P129-P134</f>
        <v>-45061.066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-45000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-45000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-45000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-45000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0</v>
      </c>
      <c r="G99" s="255">
        <f>+'Cash-Flow-2023-Leva'!G99/1000</f>
        <v>0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22.455</v>
      </c>
      <c r="G100" s="267">
        <f>+'Cash-Flow-2023-Leva'!G100/1000</f>
        <v>-8.757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22.455</v>
      </c>
      <c r="P100" s="384">
        <f>+G100+J100+M100</f>
        <v>-8.757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22.455</v>
      </c>
      <c r="G101" s="235">
        <f>+SUM(G99:G100)</f>
        <v>-8.757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22.455</v>
      </c>
      <c r="P101" s="363">
        <f>+SUM(P99:P100)</f>
        <v>-8.757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22.455</v>
      </c>
      <c r="G103" s="257">
        <f>+G91+G97+G101</f>
        <v>-45008.757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22.455</v>
      </c>
      <c r="P103" s="380">
        <f>+P91+P97+P101</f>
        <v>-45008.757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-4.363</v>
      </c>
      <c r="G118" s="228">
        <f>+'Cash-Flow-2023-Leva'!G118/1000</f>
        <v>5.824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-111.684</v>
      </c>
      <c r="M118" s="228">
        <f>+'Cash-Flow-2023-Leva'!M118/1000</f>
        <v>-887.03</v>
      </c>
      <c r="N118" s="463"/>
      <c r="O118" s="366">
        <f>+F118+I118+L118</f>
        <v>-116.047</v>
      </c>
      <c r="P118" s="359">
        <f>+G118+J118+M118</f>
        <v>-881.206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-4.363</v>
      </c>
      <c r="G120" s="261">
        <f>+SUM(G118:G119)</f>
        <v>5.824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-111.684</v>
      </c>
      <c r="M120" s="261">
        <f>+SUM(M118:M119)</f>
        <v>-887.03</v>
      </c>
      <c r="N120" s="463"/>
      <c r="O120" s="381">
        <f>+SUM(O118:O119)</f>
        <v>-116.047</v>
      </c>
      <c r="P120" s="382">
        <f>+SUM(P118:P119)</f>
        <v>-881.206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-4.363</v>
      </c>
      <c r="G122" s="272">
        <f>+G108+G112+G116+G120</f>
        <v>5.824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-111.684</v>
      </c>
      <c r="M122" s="272">
        <f>+M108+M112+M116+M120</f>
        <v>-887.03</v>
      </c>
      <c r="N122" s="463"/>
      <c r="O122" s="385">
        <f>+O108+O112+O116+O120</f>
        <v>-116.047</v>
      </c>
      <c r="P122" s="392">
        <f>+P108+P112+P116+P120</f>
        <v>-881.206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-566.225</v>
      </c>
      <c r="G125" s="267">
        <f>+'Cash-Flow-2023-Leva'!G125/1000</f>
        <v>-3300.852</v>
      </c>
      <c r="H125" s="277"/>
      <c r="I125" s="268">
        <f>+'Cash-Flow-2023-Leva'!I125/1000</f>
        <v>566.225</v>
      </c>
      <c r="J125" s="267">
        <f>+'Cash-Flow-2023-Leva'!J125/1000</f>
        <v>3300.852</v>
      </c>
      <c r="K125" s="277"/>
      <c r="L125" s="268">
        <f>+'Cash-Flow-2023-Leva'!L125/1000</f>
        <v>7946.092</v>
      </c>
      <c r="M125" s="267">
        <f>+'Cash-Flow-2023-Leva'!M125/1000</f>
        <v>5225.532</v>
      </c>
      <c r="N125" s="463"/>
      <c r="O125" s="361">
        <f t="shared" si="8"/>
        <v>7946.092</v>
      </c>
      <c r="P125" s="384">
        <f t="shared" si="8"/>
        <v>5225.532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-457.711</v>
      </c>
      <c r="G126" s="267">
        <f>+'Cash-Flow-2023-Leva'!G126/1000</f>
        <v>-153.955</v>
      </c>
      <c r="H126" s="277"/>
      <c r="I126" s="268">
        <f>+'Cash-Flow-2023-Leva'!I126/1000</f>
        <v>228.243</v>
      </c>
      <c r="J126" s="267">
        <f>+'Cash-Flow-2023-Leva'!J126/1000</f>
        <v>153.034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-229.46800000000002</v>
      </c>
      <c r="P126" s="384">
        <f t="shared" si="8"/>
        <v>-0.9210000000000207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-1023.936</v>
      </c>
      <c r="G129" s="270">
        <f>+SUM(G124,G125,G126,G128)</f>
        <v>-3454.807</v>
      </c>
      <c r="H129" s="277"/>
      <c r="I129" s="271">
        <f>+SUM(I124,I125,I126,I128)</f>
        <v>794.4680000000001</v>
      </c>
      <c r="J129" s="270">
        <f>+SUM(J124,J125,J126,J128)</f>
        <v>3453.886</v>
      </c>
      <c r="K129" s="277"/>
      <c r="L129" s="271">
        <f>+SUM(L124,L125,L126,L128)</f>
        <v>7946.092</v>
      </c>
      <c r="M129" s="270">
        <f>+SUM(M124,M125,M126,M128)</f>
        <v>5225.532</v>
      </c>
      <c r="N129" s="463"/>
      <c r="O129" s="386">
        <f>+SUM(O124,O125,O126,O128)</f>
        <v>7716.624</v>
      </c>
      <c r="P129" s="387">
        <f>+SUM(P124,P125,P126,P128)</f>
        <v>5224.611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276.429</v>
      </c>
      <c r="G131" s="255">
        <f>+'Cash-Flow-2023-Leva'!G131/1000</f>
        <v>218.991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29547.414</v>
      </c>
      <c r="M131" s="255">
        <f>+'Cash-Flow-2023-Leva'!M131/1000</f>
        <v>25208.912</v>
      </c>
      <c r="N131" s="463"/>
      <c r="O131" s="365">
        <f aca="true" t="shared" si="9" ref="O131:P133">+F131+I131+L131</f>
        <v>29823.843</v>
      </c>
      <c r="P131" s="378">
        <f t="shared" si="9"/>
        <v>25427.903000000002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-0.136</v>
      </c>
      <c r="G132" s="267">
        <f>+'Cash-Flow-2023-Leva'!G132/1000</f>
        <v>0.226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-0.136</v>
      </c>
      <c r="P132" s="384">
        <f t="shared" si="9"/>
        <v>0.226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289.125</v>
      </c>
      <c r="G133" s="267">
        <f>+'Cash-Flow-2023-Leva'!G133/1000</f>
        <v>276.429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37381.822</v>
      </c>
      <c r="M133" s="267">
        <f>+'Cash-Flow-2023-Leva'!M133/1000</f>
        <v>29547.414</v>
      </c>
      <c r="N133" s="463"/>
      <c r="O133" s="361">
        <f t="shared" si="9"/>
        <v>37670.947</v>
      </c>
      <c r="P133" s="384">
        <f t="shared" si="9"/>
        <v>29823.843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12.832000000000026</v>
      </c>
      <c r="G134" s="275">
        <f>+G133-G131-G132</f>
        <v>57.21199999999996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7834.407999999999</v>
      </c>
      <c r="M134" s="275">
        <f>+M133-M131-M132</f>
        <v>4338.502</v>
      </c>
      <c r="N134" s="463"/>
      <c r="O134" s="394">
        <f>+O133-O131-O132</f>
        <v>7847.24</v>
      </c>
      <c r="P134" s="395">
        <f>+P133-P131-P132</f>
        <v>4395.713999999999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0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0"/>
      <c r="D135" s="820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18937.884</v>
      </c>
      <c r="G137" s="255">
        <f>+'Cash-Flow-2023-Leva'!G137/1000</f>
        <v>19871.841</v>
      </c>
      <c r="H137" s="277"/>
      <c r="I137" s="256">
        <f>+'Cash-Flow-2023-Leva'!I137/1000</f>
        <v>189.679</v>
      </c>
      <c r="J137" s="255">
        <f>+'Cash-Flow-2023-Leva'!J137/1000</f>
        <v>189.679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19127.563</v>
      </c>
      <c r="P137" s="378">
        <f t="shared" si="10"/>
        <v>20061.52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18937.884</v>
      </c>
      <c r="G139" s="267">
        <f>+'Cash-Flow-2023-Leva'!G139/1000</f>
        <v>18937.884</v>
      </c>
      <c r="H139" s="277"/>
      <c r="I139" s="268">
        <f>+'Cash-Flow-2023-Leva'!I139/1000</f>
        <v>189.679</v>
      </c>
      <c r="J139" s="267">
        <f>+'Cash-Flow-2023-Leva'!J139/1000</f>
        <v>189.679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19127.563</v>
      </c>
      <c r="P139" s="384">
        <f t="shared" si="10"/>
        <v>19127.563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-933.9570000000022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-933.9570000000022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12.832000000000026</v>
      </c>
      <c r="G142" s="275">
        <f>+G134+G140</f>
        <v>-876.7450000000022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7834.407999999999</v>
      </c>
      <c r="M142" s="537">
        <f>+M134+M140</f>
        <v>4338.502</v>
      </c>
      <c r="N142" s="463"/>
      <c r="O142" s="549">
        <f>+O134+O140</f>
        <v>7847.24</v>
      </c>
      <c r="P142" s="550">
        <f>+P134+P140</f>
        <v>3461.756999999997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2052023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Илиана Шопова</cp:lastModifiedBy>
  <cp:lastPrinted>2023-05-02T14:55:58Z</cp:lastPrinted>
  <dcterms:created xsi:type="dcterms:W3CDTF">2015-12-01T07:17:04Z</dcterms:created>
  <dcterms:modified xsi:type="dcterms:W3CDTF">2023-05-19T08:38:51Z</dcterms:modified>
  <cp:category/>
  <cp:version/>
  <cp:contentType/>
  <cp:contentStatus/>
</cp:coreProperties>
</file>